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tyom\Dropbox\Karen\2020\Մրգաշեն\gh 03 taniq\09-07-2020_13-47-30\"/>
    </mc:Choice>
  </mc:AlternateContent>
  <bookViews>
    <workbookView xWindow="-120" yWindow="-120" windowWidth="29040" windowHeight="15840" tabRatio="970"/>
  </bookViews>
  <sheets>
    <sheet name="Cav" sheetId="62" r:id="rId1"/>
  </sheets>
  <calcPr calcId="152511"/>
</workbook>
</file>

<file path=xl/calcChain.xml><?xml version="1.0" encoding="utf-8"?>
<calcChain xmlns="http://schemas.openxmlformats.org/spreadsheetml/2006/main">
  <c r="E14" i="62" l="1"/>
  <c r="J427" i="62"/>
  <c r="G427" i="62"/>
  <c r="R426" i="62" s="1"/>
  <c r="E426" i="62"/>
  <c r="O422" i="62"/>
  <c r="J422" i="62"/>
  <c r="G422" i="62"/>
  <c r="R421" i="62" s="1"/>
  <c r="J419" i="62"/>
  <c r="G419" i="62"/>
  <c r="E418" i="62"/>
  <c r="O414" i="62"/>
  <c r="J414" i="62"/>
  <c r="G414" i="62"/>
  <c r="R413" i="62" s="1"/>
  <c r="J408" i="62"/>
  <c r="J409" i="62" s="1"/>
  <c r="G408" i="62"/>
  <c r="G409" i="62" s="1"/>
  <c r="R408" i="62" s="1"/>
  <c r="E408" i="62"/>
  <c r="O409" i="62" s="1"/>
  <c r="J404" i="62"/>
  <c r="G404" i="62"/>
  <c r="R403" i="62" s="1"/>
  <c r="E403" i="62"/>
  <c r="O404" i="62" s="1"/>
  <c r="O399" i="62"/>
  <c r="J399" i="62"/>
  <c r="G399" i="62"/>
  <c r="O394" i="62"/>
  <c r="J394" i="62"/>
  <c r="G394" i="62"/>
  <c r="J391" i="62"/>
  <c r="G391" i="62"/>
  <c r="R390" i="62" s="1"/>
  <c r="E390" i="62"/>
  <c r="A390" i="62"/>
  <c r="A393" i="62" s="1"/>
  <c r="A398" i="62" s="1"/>
  <c r="A403" i="62" s="1"/>
  <c r="A408" i="62" s="1"/>
  <c r="A413" i="62" s="1"/>
  <c r="A418" i="62" s="1"/>
  <c r="A421" i="62" s="1"/>
  <c r="A426" i="62" s="1"/>
  <c r="J385" i="62"/>
  <c r="G385" i="62"/>
  <c r="E384" i="62"/>
  <c r="O385" i="62" s="1"/>
  <c r="O381" i="62"/>
  <c r="J381" i="62"/>
  <c r="G381" i="62"/>
  <c r="E380" i="62"/>
  <c r="N378" i="62"/>
  <c r="Q378" i="62" s="1"/>
  <c r="J375" i="62"/>
  <c r="G375" i="62"/>
  <c r="E374" i="62"/>
  <c r="O376" i="62" s="1"/>
  <c r="N370" i="62"/>
  <c r="J369" i="62"/>
  <c r="J370" i="62" s="1"/>
  <c r="G369" i="62"/>
  <c r="G370" i="62" s="1"/>
  <c r="O366" i="62"/>
  <c r="J366" i="62"/>
  <c r="G366" i="62"/>
  <c r="R365" i="62" s="1"/>
  <c r="O362" i="62"/>
  <c r="J362" i="62"/>
  <c r="G362" i="62"/>
  <c r="O358" i="62"/>
  <c r="J358" i="62"/>
  <c r="G358" i="62"/>
  <c r="R354" i="62"/>
  <c r="J354" i="62"/>
  <c r="J353" i="62"/>
  <c r="G353" i="62"/>
  <c r="G354" i="62" s="1"/>
  <c r="R353" i="62" s="1"/>
  <c r="E353" i="62"/>
  <c r="O350" i="62"/>
  <c r="J350" i="62"/>
  <c r="G350" i="62"/>
  <c r="O345" i="62"/>
  <c r="J345" i="62"/>
  <c r="G345" i="62"/>
  <c r="R344" i="62" s="1"/>
  <c r="R340" i="62"/>
  <c r="J340" i="62"/>
  <c r="G340" i="62"/>
  <c r="E339" i="62"/>
  <c r="O336" i="62"/>
  <c r="J336" i="62"/>
  <c r="G336" i="62"/>
  <c r="R335" i="62" s="1"/>
  <c r="O332" i="62"/>
  <c r="J332" i="62"/>
  <c r="R331" i="62" s="1"/>
  <c r="G332" i="62"/>
  <c r="O328" i="62"/>
  <c r="J328" i="62"/>
  <c r="G328" i="62"/>
  <c r="O324" i="62"/>
  <c r="J324" i="62"/>
  <c r="G324" i="62"/>
  <c r="O322" i="62"/>
  <c r="O321" i="62"/>
  <c r="O320" i="62"/>
  <c r="O319" i="62"/>
  <c r="O318" i="62"/>
  <c r="J318" i="62"/>
  <c r="G318" i="62"/>
  <c r="O313" i="62"/>
  <c r="O310" i="62"/>
  <c r="J310" i="62"/>
  <c r="G310" i="62"/>
  <c r="E309" i="62"/>
  <c r="O315" i="62" s="1"/>
  <c r="J301" i="62"/>
  <c r="G301" i="62"/>
  <c r="E300" i="62"/>
  <c r="J296" i="62"/>
  <c r="G296" i="62"/>
  <c r="J291" i="62"/>
  <c r="R290" i="62" s="1"/>
  <c r="G291" i="62"/>
  <c r="E290" i="62"/>
  <c r="O288" i="62"/>
  <c r="N287" i="62"/>
  <c r="J286" i="62"/>
  <c r="J287" i="62" s="1"/>
  <c r="G286" i="62"/>
  <c r="G287" i="62" s="1"/>
  <c r="N284" i="62"/>
  <c r="O284" i="62" s="1"/>
  <c r="O283" i="62"/>
  <c r="O282" i="62"/>
  <c r="O281" i="62"/>
  <c r="O280" i="62"/>
  <c r="J280" i="62"/>
  <c r="G280" i="62"/>
  <c r="N277" i="62"/>
  <c r="O276" i="62"/>
  <c r="O275" i="62"/>
  <c r="O274" i="62"/>
  <c r="O273" i="62"/>
  <c r="J273" i="62"/>
  <c r="G273" i="62"/>
  <c r="A272" i="62"/>
  <c r="A279" i="62" s="1"/>
  <c r="A286" i="62" s="1"/>
  <c r="A290" i="62" s="1"/>
  <c r="A295" i="62" s="1"/>
  <c r="A300" i="62" s="1"/>
  <c r="A309" i="62" s="1"/>
  <c r="A317" i="62" s="1"/>
  <c r="A323" i="62" s="1"/>
  <c r="A327" i="62" s="1"/>
  <c r="A331" i="62" s="1"/>
  <c r="A335" i="62" s="1"/>
  <c r="A339" i="62" s="1"/>
  <c r="N270" i="62"/>
  <c r="O270" i="62" s="1"/>
  <c r="O269" i="62"/>
  <c r="O268" i="62"/>
  <c r="O267" i="62"/>
  <c r="O266" i="62"/>
  <c r="J266" i="62"/>
  <c r="G266" i="62"/>
  <c r="R265" i="62"/>
  <c r="A265" i="62"/>
  <c r="N263" i="62"/>
  <c r="O262" i="62"/>
  <c r="O261" i="62"/>
  <c r="O260" i="62"/>
  <c r="O259" i="62"/>
  <c r="J259" i="62"/>
  <c r="G259" i="62"/>
  <c r="R258" i="62" s="1"/>
  <c r="J254" i="62"/>
  <c r="G253" i="62"/>
  <c r="G254" i="62" s="1"/>
  <c r="J251" i="62"/>
  <c r="G251" i="62"/>
  <c r="R250" i="62" s="1"/>
  <c r="R247" i="62"/>
  <c r="J247" i="62"/>
  <c r="G247" i="62"/>
  <c r="R246" i="62" s="1"/>
  <c r="J243" i="62"/>
  <c r="G243" i="62"/>
  <c r="E242" i="62"/>
  <c r="G239" i="62"/>
  <c r="R238" i="62" s="1"/>
  <c r="J238" i="62"/>
  <c r="J239" i="62" s="1"/>
  <c r="G238" i="62"/>
  <c r="A238" i="62"/>
  <c r="A242" i="62" s="1"/>
  <c r="A246" i="62" s="1"/>
  <c r="A250" i="62" s="1"/>
  <c r="A253" i="62" s="1"/>
  <c r="R234" i="62"/>
  <c r="J234" i="62"/>
  <c r="J233" i="62"/>
  <c r="G233" i="62"/>
  <c r="G234" i="62" s="1"/>
  <c r="R233" i="62" s="1"/>
  <c r="E233" i="62"/>
  <c r="A233" i="62"/>
  <c r="J230" i="62"/>
  <c r="G230" i="62"/>
  <c r="R229" i="62" s="1"/>
  <c r="E229" i="62"/>
  <c r="J219" i="62"/>
  <c r="G219" i="62"/>
  <c r="E218" i="62"/>
  <c r="O214" i="62"/>
  <c r="J214" i="62"/>
  <c r="G214" i="62"/>
  <c r="R213" i="62" s="1"/>
  <c r="J211" i="62"/>
  <c r="G211" i="62"/>
  <c r="R210" i="62" s="1"/>
  <c r="E210" i="62"/>
  <c r="O206" i="62"/>
  <c r="J206" i="62"/>
  <c r="G206" i="62"/>
  <c r="R205" i="62" s="1"/>
  <c r="J200" i="62"/>
  <c r="J201" i="62" s="1"/>
  <c r="G200" i="62"/>
  <c r="G201" i="62" s="1"/>
  <c r="R200" i="62" s="1"/>
  <c r="E200" i="62"/>
  <c r="O201" i="62" s="1"/>
  <c r="J196" i="62"/>
  <c r="G196" i="62"/>
  <c r="E195" i="62"/>
  <c r="O196" i="62" s="1"/>
  <c r="O191" i="62"/>
  <c r="J191" i="62"/>
  <c r="G191" i="62"/>
  <c r="O186" i="62"/>
  <c r="J186" i="62"/>
  <c r="G186" i="62"/>
  <c r="R185" i="62" s="1"/>
  <c r="J183" i="62"/>
  <c r="G183" i="62"/>
  <c r="E182" i="62"/>
  <c r="A182" i="62"/>
  <c r="A185" i="62" s="1"/>
  <c r="A190" i="62" s="1"/>
  <c r="A195" i="62" s="1"/>
  <c r="A200" i="62" s="1"/>
  <c r="A205" i="62" s="1"/>
  <c r="A210" i="62" s="1"/>
  <c r="A213" i="62" s="1"/>
  <c r="A218" i="62" s="1"/>
  <c r="J177" i="62"/>
  <c r="G177" i="62"/>
  <c r="R176" i="62"/>
  <c r="E176" i="62"/>
  <c r="O177" i="62" s="1"/>
  <c r="J173" i="62"/>
  <c r="G173" i="62"/>
  <c r="E172" i="62"/>
  <c r="O173" i="62" s="1"/>
  <c r="N170" i="62"/>
  <c r="O167" i="62"/>
  <c r="J167" i="62"/>
  <c r="G167" i="62"/>
  <c r="R166" i="62" s="1"/>
  <c r="E166" i="62"/>
  <c r="O168" i="62" s="1"/>
  <c r="N162" i="62"/>
  <c r="O162" i="62" s="1"/>
  <c r="J161" i="62"/>
  <c r="J162" i="62" s="1"/>
  <c r="G161" i="62"/>
  <c r="G162" i="62" s="1"/>
  <c r="O158" i="62"/>
  <c r="J158" i="62"/>
  <c r="G158" i="62"/>
  <c r="R157" i="62" s="1"/>
  <c r="O154" i="62"/>
  <c r="J154" i="62"/>
  <c r="G154" i="62"/>
  <c r="O150" i="62"/>
  <c r="J150" i="62"/>
  <c r="G150" i="62"/>
  <c r="R146" i="62"/>
  <c r="J146" i="62"/>
  <c r="J145" i="62"/>
  <c r="G145" i="62"/>
  <c r="G146" i="62" s="1"/>
  <c r="E145" i="62"/>
  <c r="O142" i="62"/>
  <c r="J142" i="62"/>
  <c r="G142" i="62"/>
  <c r="R141" i="62"/>
  <c r="O137" i="62"/>
  <c r="J137" i="62"/>
  <c r="G137" i="62"/>
  <c r="R136" i="62" s="1"/>
  <c r="R132" i="62"/>
  <c r="J132" i="62"/>
  <c r="G132" i="62"/>
  <c r="E131" i="62"/>
  <c r="O128" i="62"/>
  <c r="J128" i="62"/>
  <c r="G128" i="62"/>
  <c r="R127" i="62"/>
  <c r="O124" i="62"/>
  <c r="J124" i="62"/>
  <c r="G124" i="62"/>
  <c r="R123" i="62" s="1"/>
  <c r="O120" i="62"/>
  <c r="J120" i="62"/>
  <c r="R119" i="62" s="1"/>
  <c r="G120" i="62"/>
  <c r="O116" i="62"/>
  <c r="J116" i="62"/>
  <c r="G116" i="62"/>
  <c r="O114" i="62"/>
  <c r="O113" i="62"/>
  <c r="O112" i="62"/>
  <c r="O111" i="62"/>
  <c r="O110" i="62"/>
  <c r="J110" i="62"/>
  <c r="R109" i="62" s="1"/>
  <c r="G110" i="62"/>
  <c r="O102" i="62"/>
  <c r="J102" i="62"/>
  <c r="G102" i="62"/>
  <c r="E101" i="62"/>
  <c r="O107" i="62" s="1"/>
  <c r="J93" i="62"/>
  <c r="G93" i="62"/>
  <c r="E92" i="62"/>
  <c r="J88" i="62"/>
  <c r="G88" i="62"/>
  <c r="J83" i="62"/>
  <c r="G83" i="62"/>
  <c r="E82" i="62"/>
  <c r="O80" i="62"/>
  <c r="N79" i="62"/>
  <c r="J78" i="62"/>
  <c r="J79" i="62" s="1"/>
  <c r="G78" i="62"/>
  <c r="G79" i="62" s="1"/>
  <c r="N76" i="62"/>
  <c r="O76" i="62" s="1"/>
  <c r="O75" i="62"/>
  <c r="O74" i="62"/>
  <c r="O73" i="62"/>
  <c r="O72" i="62"/>
  <c r="J72" i="62"/>
  <c r="G72" i="62"/>
  <c r="R71" i="62"/>
  <c r="N69" i="62"/>
  <c r="O68" i="62"/>
  <c r="O67" i="62"/>
  <c r="O66" i="62"/>
  <c r="O65" i="62"/>
  <c r="J65" i="62"/>
  <c r="G65" i="62"/>
  <c r="R64" i="62" s="1"/>
  <c r="N62" i="62"/>
  <c r="O62" i="62" s="1"/>
  <c r="O61" i="62"/>
  <c r="O60" i="62"/>
  <c r="O59" i="62"/>
  <c r="O58" i="62"/>
  <c r="J58" i="62"/>
  <c r="G58" i="62"/>
  <c r="A57" i="62"/>
  <c r="A64" i="62" s="1"/>
  <c r="A71" i="62" s="1"/>
  <c r="A78" i="62" s="1"/>
  <c r="A82" i="62" s="1"/>
  <c r="A87" i="62" s="1"/>
  <c r="A92" i="62" s="1"/>
  <c r="A101" i="62" s="1"/>
  <c r="A109" i="62" s="1"/>
  <c r="A115" i="62" s="1"/>
  <c r="A119" i="62" s="1"/>
  <c r="A123" i="62" s="1"/>
  <c r="A127" i="62" s="1"/>
  <c r="A131" i="62" s="1"/>
  <c r="N55" i="62"/>
  <c r="O54" i="62"/>
  <c r="O53" i="62"/>
  <c r="O52" i="62"/>
  <c r="O51" i="62"/>
  <c r="J51" i="62"/>
  <c r="G51" i="62"/>
  <c r="R50" i="62" s="1"/>
  <c r="J46" i="62"/>
  <c r="G45" i="62"/>
  <c r="G46" i="62" s="1"/>
  <c r="J43" i="62"/>
  <c r="G43" i="62"/>
  <c r="R42" i="62" s="1"/>
  <c r="R39" i="62"/>
  <c r="J39" i="62"/>
  <c r="G39" i="62"/>
  <c r="R38" i="62" s="1"/>
  <c r="J35" i="62"/>
  <c r="G35" i="62"/>
  <c r="E34" i="62"/>
  <c r="J30" i="62"/>
  <c r="J31" i="62" s="1"/>
  <c r="G30" i="62"/>
  <c r="G31" i="62" s="1"/>
  <c r="R30" i="62" s="1"/>
  <c r="R26" i="62"/>
  <c r="J25" i="62"/>
  <c r="J26" i="62" s="1"/>
  <c r="G25" i="62"/>
  <c r="G26" i="62" s="1"/>
  <c r="E25" i="62"/>
  <c r="A25" i="62"/>
  <c r="A30" i="62" s="1"/>
  <c r="A34" i="62" s="1"/>
  <c r="A38" i="62" s="1"/>
  <c r="A42" i="62" s="1"/>
  <c r="A45" i="62" s="1"/>
  <c r="J22" i="62"/>
  <c r="G22" i="62"/>
  <c r="R21" i="62" s="1"/>
  <c r="E21" i="62"/>
  <c r="N11" i="62"/>
  <c r="Q219" i="62" s="1"/>
  <c r="R219" i="62" s="1"/>
  <c r="Q62" i="62" l="1"/>
  <c r="Q266" i="62"/>
  <c r="Q281" i="62"/>
  <c r="Q291" i="62"/>
  <c r="Q303" i="62"/>
  <c r="Q319" i="62"/>
  <c r="Q128" i="62"/>
  <c r="R128" i="62" s="1"/>
  <c r="Q260" i="62"/>
  <c r="Q262" i="62"/>
  <c r="Q273" i="62"/>
  <c r="Q277" i="62"/>
  <c r="Q292" i="62"/>
  <c r="Q296" i="62"/>
  <c r="Q307" i="62"/>
  <c r="R301" i="62" s="1"/>
  <c r="Q313" i="62"/>
  <c r="Q358" i="62"/>
  <c r="R358" i="62" s="1"/>
  <c r="Q362" i="62"/>
  <c r="R362" i="62" s="1"/>
  <c r="Q376" i="62"/>
  <c r="R375" i="62" s="1"/>
  <c r="O378" i="62"/>
  <c r="R380" i="62"/>
  <c r="Q270" i="62"/>
  <c r="Q276" i="62"/>
  <c r="Q283" i="62"/>
  <c r="Q110" i="62"/>
  <c r="R145" i="62"/>
  <c r="R218" i="62"/>
  <c r="Q263" i="62"/>
  <c r="Q267" i="62"/>
  <c r="Q269" i="62"/>
  <c r="Q275" i="62"/>
  <c r="O277" i="62"/>
  <c r="Q280" i="62"/>
  <c r="Q282" i="62"/>
  <c r="Q284" i="62"/>
  <c r="R280" i="62" s="1"/>
  <c r="Q293" i="62"/>
  <c r="Q297" i="62"/>
  <c r="R300" i="62"/>
  <c r="Q310" i="62"/>
  <c r="Q315" i="62"/>
  <c r="Q318" i="62"/>
  <c r="Q320" i="62"/>
  <c r="Q322" i="62"/>
  <c r="Q324" i="62"/>
  <c r="R324" i="62" s="1"/>
  <c r="Q328" i="62"/>
  <c r="R328" i="62" s="1"/>
  <c r="Q332" i="62"/>
  <c r="R332" i="62" s="1"/>
  <c r="R357" i="62"/>
  <c r="Q366" i="62"/>
  <c r="R366" i="62" s="1"/>
  <c r="O377" i="62"/>
  <c r="Q394" i="62"/>
  <c r="R394" i="62" s="1"/>
  <c r="Q399" i="62"/>
  <c r="R399" i="62" s="1"/>
  <c r="Q404" i="62"/>
  <c r="R404" i="62" s="1"/>
  <c r="R418" i="62"/>
  <c r="Q65" i="62"/>
  <c r="Q268" i="62"/>
  <c r="Q274" i="62"/>
  <c r="Q288" i="62"/>
  <c r="Q321" i="62"/>
  <c r="Q375" i="62"/>
  <c r="R45" i="62"/>
  <c r="R82" i="62"/>
  <c r="R115" i="62"/>
  <c r="Q177" i="62"/>
  <c r="R177" i="62" s="1"/>
  <c r="R242" i="62"/>
  <c r="Q259" i="62"/>
  <c r="Q261" i="62"/>
  <c r="R286" i="62"/>
  <c r="R295" i="62"/>
  <c r="Q298" i="62"/>
  <c r="Q301" i="62"/>
  <c r="R309" i="62"/>
  <c r="Q312" i="62"/>
  <c r="R317" i="62"/>
  <c r="R323" i="62"/>
  <c r="Q336" i="62"/>
  <c r="R336" i="62" s="1"/>
  <c r="Q345" i="62"/>
  <c r="R345" i="62" s="1"/>
  <c r="Q350" i="62"/>
  <c r="R350" i="62" s="1"/>
  <c r="O375" i="62"/>
  <c r="Q377" i="62"/>
  <c r="Q381" i="62"/>
  <c r="R381" i="62" s="1"/>
  <c r="Q385" i="62"/>
  <c r="R385" i="62" s="1"/>
  <c r="R393" i="62"/>
  <c r="Q409" i="62"/>
  <c r="R409" i="62" s="1"/>
  <c r="Q414" i="62"/>
  <c r="R414" i="62" s="1"/>
  <c r="Q422" i="62"/>
  <c r="R422" i="62" s="1"/>
  <c r="Q427" i="62"/>
  <c r="R427" i="62" s="1"/>
  <c r="R361" i="62"/>
  <c r="R339" i="62"/>
  <c r="R349" i="62"/>
  <c r="R369" i="62"/>
  <c r="R398" i="62"/>
  <c r="R279" i="62"/>
  <c r="R131" i="62"/>
  <c r="R195" i="62"/>
  <c r="R253" i="62"/>
  <c r="R272" i="62"/>
  <c r="R327" i="62"/>
  <c r="R374" i="62"/>
  <c r="R384" i="62"/>
  <c r="A349" i="62"/>
  <c r="A344" i="62"/>
  <c r="A353" i="62" s="1"/>
  <c r="A357" i="62" s="1"/>
  <c r="A361" i="62" s="1"/>
  <c r="A365" i="62" s="1"/>
  <c r="A369" i="62" s="1"/>
  <c r="A374" i="62" s="1"/>
  <c r="A380" i="62" s="1"/>
  <c r="A384" i="62" s="1"/>
  <c r="O307" i="62"/>
  <c r="O301" i="62"/>
  <c r="E295" i="62"/>
  <c r="Q287" i="62"/>
  <c r="R287" i="62" s="1"/>
  <c r="O287" i="62"/>
  <c r="O293" i="62"/>
  <c r="O291" i="62"/>
  <c r="Q370" i="62"/>
  <c r="R370" i="62" s="1"/>
  <c r="O370" i="62"/>
  <c r="O263" i="62"/>
  <c r="O303" i="62"/>
  <c r="O292" i="62"/>
  <c r="O427" i="62"/>
  <c r="O312" i="62"/>
  <c r="R161" i="62"/>
  <c r="Q79" i="62"/>
  <c r="R79" i="62" s="1"/>
  <c r="Q89" i="62"/>
  <c r="Q168" i="62"/>
  <c r="R57" i="62"/>
  <c r="Q104" i="62"/>
  <c r="R172" i="62"/>
  <c r="R25" i="62"/>
  <c r="Q76" i="62"/>
  <c r="Q99" i="62"/>
  <c r="R34" i="62"/>
  <c r="R78" i="62"/>
  <c r="Q85" i="62"/>
  <c r="R190" i="62"/>
  <c r="Q51" i="62"/>
  <c r="R87" i="62"/>
  <c r="R92" i="62"/>
  <c r="R101" i="62"/>
  <c r="Q107" i="62"/>
  <c r="R149" i="62"/>
  <c r="R153" i="62"/>
  <c r="Q162" i="62"/>
  <c r="R162" i="62" s="1"/>
  <c r="O170" i="62"/>
  <c r="R182" i="62"/>
  <c r="Q196" i="62"/>
  <c r="R196" i="62" s="1"/>
  <c r="Q201" i="62"/>
  <c r="R201" i="62" s="1"/>
  <c r="A141" i="62"/>
  <c r="A136" i="62"/>
  <c r="A145" i="62" s="1"/>
  <c r="A149" i="62" s="1"/>
  <c r="A153" i="62" s="1"/>
  <c r="A157" i="62" s="1"/>
  <c r="A161" i="62" s="1"/>
  <c r="A166" i="62" s="1"/>
  <c r="A172" i="62" s="1"/>
  <c r="A176" i="62" s="1"/>
  <c r="O99" i="62"/>
  <c r="O93" i="62"/>
  <c r="E87" i="62"/>
  <c r="O95" i="62"/>
  <c r="Q55" i="62"/>
  <c r="O55" i="62"/>
  <c r="O85" i="62"/>
  <c r="O83" i="62"/>
  <c r="O84" i="62"/>
  <c r="Q69" i="62"/>
  <c r="O69" i="62"/>
  <c r="Q53" i="62"/>
  <c r="Q59" i="62"/>
  <c r="Q61" i="62"/>
  <c r="Q67" i="62"/>
  <c r="Q73" i="62"/>
  <c r="Q75" i="62"/>
  <c r="Q88" i="62"/>
  <c r="Q102" i="62"/>
  <c r="O105" i="62"/>
  <c r="Q112" i="62"/>
  <c r="Q114" i="62"/>
  <c r="Q116" i="62"/>
  <c r="R116" i="62" s="1"/>
  <c r="Q137" i="62"/>
  <c r="R137" i="62" s="1"/>
  <c r="Q150" i="62"/>
  <c r="R150" i="62" s="1"/>
  <c r="Q167" i="62"/>
  <c r="O169" i="62"/>
  <c r="Q170" i="62"/>
  <c r="Q186" i="62"/>
  <c r="R186" i="62" s="1"/>
  <c r="Q206" i="62"/>
  <c r="R206" i="62" s="1"/>
  <c r="Q214" i="62"/>
  <c r="R214" i="62" s="1"/>
  <c r="Q58" i="62"/>
  <c r="Q72" i="62"/>
  <c r="O79" i="62"/>
  <c r="Q80" i="62"/>
  <c r="Q84" i="62"/>
  <c r="Q90" i="62"/>
  <c r="Q95" i="62"/>
  <c r="Q105" i="62"/>
  <c r="Q120" i="62"/>
  <c r="R120" i="62" s="1"/>
  <c r="Q142" i="62"/>
  <c r="R142" i="62" s="1"/>
  <c r="Q154" i="62"/>
  <c r="R154" i="62" s="1"/>
  <c r="Q169" i="62"/>
  <c r="Q173" i="62"/>
  <c r="R173" i="62" s="1"/>
  <c r="Q191" i="62"/>
  <c r="R191" i="62" s="1"/>
  <c r="O219" i="62"/>
  <c r="Q52" i="62"/>
  <c r="Q54" i="62"/>
  <c r="Q60" i="62"/>
  <c r="Q66" i="62"/>
  <c r="Q68" i="62"/>
  <c r="Q74" i="62"/>
  <c r="Q83" i="62"/>
  <c r="Q93" i="62"/>
  <c r="R93" i="62" s="1"/>
  <c r="O104" i="62"/>
  <c r="Q111" i="62"/>
  <c r="Q113" i="62"/>
  <c r="Q124" i="62"/>
  <c r="R124" i="62" s="1"/>
  <c r="Q158" i="62"/>
  <c r="R158" i="62" s="1"/>
  <c r="R310" i="62" l="1"/>
  <c r="R259" i="62"/>
  <c r="R296" i="62"/>
  <c r="R65" i="62"/>
  <c r="R167" i="62"/>
  <c r="R318" i="62"/>
  <c r="R266" i="62"/>
  <c r="R273" i="62"/>
  <c r="R83" i="62"/>
  <c r="R291" i="62"/>
  <c r="O297" i="62"/>
  <c r="O296" i="62"/>
  <c r="O298" i="62"/>
  <c r="R110" i="62"/>
  <c r="R51" i="62"/>
  <c r="R102" i="62"/>
  <c r="R88" i="62"/>
  <c r="O89" i="62"/>
  <c r="O90" i="62"/>
  <c r="O88" i="62"/>
  <c r="R72" i="62"/>
  <c r="R58" i="62"/>
  <c r="P9" i="62" l="1"/>
  <c r="S182" i="62" l="1"/>
  <c r="T182" i="62" s="1"/>
  <c r="S21" i="62"/>
  <c r="T21" i="62" s="1"/>
  <c r="S390" i="62"/>
  <c r="T390" i="62"/>
  <c r="S42" i="62"/>
  <c r="T42" i="62" s="1"/>
  <c r="S413" i="62"/>
  <c r="T413" i="62" s="1"/>
  <c r="S403" i="62"/>
  <c r="T403" i="62" s="1"/>
  <c r="S229" i="62"/>
  <c r="T229" i="62"/>
  <c r="S233" i="62"/>
  <c r="T233" i="62" s="1"/>
  <c r="S50" i="62"/>
  <c r="T50" i="62"/>
  <c r="T176" i="62"/>
  <c r="S176" i="62"/>
  <c r="S238" i="62"/>
  <c r="T238" i="62"/>
  <c r="T353" i="62"/>
  <c r="S353" i="62"/>
  <c r="S250" i="62"/>
  <c r="T250" i="62" s="1"/>
  <c r="S30" i="62"/>
  <c r="T30" i="62" s="1"/>
  <c r="S38" i="62"/>
  <c r="T38" i="62" s="1"/>
  <c r="S246" i="62"/>
  <c r="T246" i="62" s="1"/>
  <c r="S210" i="62"/>
  <c r="T210" i="62" s="1"/>
  <c r="S323" i="62"/>
  <c r="T323" i="62" s="1"/>
  <c r="S131" i="62"/>
  <c r="T131" i="62"/>
  <c r="S418" i="62"/>
  <c r="T418" i="62" s="1"/>
  <c r="S344" i="62"/>
  <c r="T344" i="62"/>
  <c r="S25" i="62"/>
  <c r="T25" i="62" s="1"/>
  <c r="S123" i="62"/>
  <c r="T123" i="62"/>
  <c r="T101" i="62"/>
  <c r="S101" i="62"/>
  <c r="S64" i="62"/>
  <c r="T64" i="62"/>
  <c r="T45" i="62"/>
  <c r="S45" i="62"/>
  <c r="S361" i="62"/>
  <c r="T361" i="62"/>
  <c r="T380" i="62"/>
  <c r="S380" i="62"/>
  <c r="S213" i="62"/>
  <c r="T213" i="62"/>
  <c r="T339" i="62"/>
  <c r="S339" i="62"/>
  <c r="S172" i="62"/>
  <c r="T172" i="62"/>
  <c r="T205" i="62"/>
  <c r="S205" i="62"/>
  <c r="S218" i="62"/>
  <c r="T218" i="62"/>
  <c r="S327" i="62"/>
  <c r="T327" i="62" s="1"/>
  <c r="S34" i="62"/>
  <c r="T34" i="62"/>
  <c r="S153" i="62"/>
  <c r="T153" i="62" s="1"/>
  <c r="S242" i="62"/>
  <c r="T242" i="62"/>
  <c r="S161" i="62"/>
  <c r="T161" i="62" s="1"/>
  <c r="S87" i="62"/>
  <c r="T87" i="62" s="1"/>
  <c r="T109" i="62"/>
  <c r="S109" i="62"/>
  <c r="S317" i="62"/>
  <c r="T317" i="62" s="1"/>
  <c r="S157" i="62"/>
  <c r="T157" i="62" s="1"/>
  <c r="S408" i="62"/>
  <c r="T408" i="62"/>
  <c r="S300" i="62"/>
  <c r="T300" i="62" s="1"/>
  <c r="S149" i="62"/>
  <c r="T149" i="62"/>
  <c r="S335" i="62"/>
  <c r="T335" i="62" s="1"/>
  <c r="S253" i="62"/>
  <c r="T253" i="62"/>
  <c r="S78" i="62"/>
  <c r="T78" i="62" s="1"/>
  <c r="S279" i="62"/>
  <c r="T279" i="62" s="1"/>
  <c r="S393" i="62"/>
  <c r="T393" i="62" s="1"/>
  <c r="S200" i="62"/>
  <c r="T200" i="62"/>
  <c r="S369" i="62"/>
  <c r="T369" i="62" s="1"/>
  <c r="S127" i="62"/>
  <c r="T127" i="62"/>
  <c r="S398" i="62"/>
  <c r="T398" i="62" s="1"/>
  <c r="S309" i="62"/>
  <c r="T309" i="62"/>
  <c r="S82" i="62"/>
  <c r="T82" i="62" s="1"/>
  <c r="S166" i="62"/>
  <c r="T166" i="62"/>
  <c r="S119" i="62"/>
  <c r="T119" i="62" s="1"/>
  <c r="S115" i="62"/>
  <c r="T115" i="62"/>
  <c r="S421" i="62"/>
  <c r="T421" i="62" s="1"/>
  <c r="S295" i="62"/>
  <c r="T295" i="62"/>
  <c r="S349" i="62"/>
  <c r="T349" i="62"/>
  <c r="S141" i="62"/>
  <c r="T141" i="62"/>
  <c r="S190" i="62"/>
  <c r="T190" i="62" s="1"/>
  <c r="S185" i="62"/>
  <c r="T185" i="62" s="1"/>
  <c r="S290" i="62"/>
  <c r="T290" i="62" s="1"/>
  <c r="S272" i="62"/>
  <c r="T272" i="62"/>
  <c r="S265" i="62"/>
  <c r="T265" i="62" s="1"/>
  <c r="S258" i="62"/>
  <c r="T258" i="62"/>
  <c r="S145" i="62"/>
  <c r="T145" i="62"/>
  <c r="S384" i="62"/>
  <c r="T384" i="62"/>
  <c r="S374" i="62"/>
  <c r="T374" i="62" s="1"/>
  <c r="S92" i="62"/>
  <c r="T92" i="62"/>
  <c r="S357" i="62"/>
  <c r="T357" i="62"/>
  <c r="S426" i="62"/>
  <c r="T426" i="62" s="1"/>
  <c r="S136" i="62"/>
  <c r="T136" i="62"/>
  <c r="S286" i="62"/>
  <c r="T286" i="62"/>
  <c r="S195" i="62"/>
  <c r="T195" i="62"/>
  <c r="S365" i="62"/>
  <c r="T365" i="62"/>
  <c r="S331" i="62"/>
  <c r="T331" i="62"/>
  <c r="S71" i="62"/>
  <c r="T71" i="62"/>
  <c r="S57" i="62"/>
  <c r="T57" i="62"/>
  <c r="T256" i="62" l="1"/>
  <c r="T223" i="62"/>
  <c r="T48" i="62"/>
  <c r="T388" i="62"/>
  <c r="T180" i="62"/>
  <c r="T431" i="62"/>
  <c r="T433" i="62" l="1"/>
  <c r="T225" i="62"/>
  <c r="T434" i="62" l="1"/>
  <c r="T435" i="62" l="1"/>
  <c r="T436" i="62" s="1"/>
</calcChain>
</file>

<file path=xl/sharedStrings.xml><?xml version="1.0" encoding="utf-8"?>
<sst xmlns="http://schemas.openxmlformats.org/spreadsheetml/2006/main" count="588" uniqueCount="162">
  <si>
    <t>Ý³Ë³Ñ³ßíÇ ³Ýí³ÝáõÙÁ</t>
  </si>
  <si>
    <t>ÐÇÙù</t>
  </si>
  <si>
    <t>ØÇçÇÝ ³ßË³ï³í³ñÓÁ</t>
  </si>
  <si>
    <t>¹ñ³Ù</t>
  </si>
  <si>
    <t>Ü³Ë³Ñ³ßí³ÛÇÝ ³ñÅ»ùÁ</t>
  </si>
  <si>
    <t>ÞÇýñ, ÝáñÙ³-ïÇíÇ Ñ³Ù³ñÁ</t>
  </si>
  <si>
    <t>²ßË³ï³ÝùÝ»ñÇ, Í³Ëë»ñÇ ³Ýí³ÝáõÙÁ ¨ ã³÷Ù³Ý ÙÇ³íáñÁ</t>
  </si>
  <si>
    <t>Ñ³½. ¹ñ³Ù</t>
  </si>
  <si>
    <t>â³÷Ù³Ý ÙÇ³íáñÁ</t>
  </si>
  <si>
    <t>ø³Ý³ÏÁ</t>
  </si>
  <si>
    <t>ÜÛáõÃ»ñÇ ³Ýí³ÝáõÙÁ</t>
  </si>
  <si>
    <t>ÜÛáõÃ»ñÇ ³ñÅ»ùÁ (Ñ³½³ñ ¹ñ³Ù)</t>
  </si>
  <si>
    <t>ÀÝ¹Ñ³ÝáõñÇ ³ñÅ»ùÁ ÙÇ³íáñÇ Ñ³Ù³ñ Ñ³½³ñ ¹ñ³Ù</t>
  </si>
  <si>
    <t>ÀÝ¹Ñ³ÝáõñÇ ³ñÅ»ùÁ Ñ³½³ñ ¹ñ³Ù</t>
  </si>
  <si>
    <t>ÜÛáõÃ»ñÇ ÁÝ¹Ñ³Ýáõñ Í³ËëÁ</t>
  </si>
  <si>
    <t>ØÇ³íáñÇ ³ñÅ»ùÁ Ñ³½³ñ ¹ñ³Ù</t>
  </si>
  <si>
    <t xml:space="preserve">Ð/Ð
</t>
  </si>
  <si>
    <t>²ßË³ï³í³ñÓÇ ÙÇ³íáñÁ éáõµ./Ñ³½³ñ ¹ñ³Ù</t>
  </si>
  <si>
    <t>²ßË³ï³í³ñÓÇ ÙÇ³íáñÇ ³ñÅ»ùÁ Ñ³½³ñ ¹ñ³Ù</t>
  </si>
  <si>
    <t>Ø»ù»Ý. ß³Ñ³·áñÍÙ³Ý ÙÇ³íáñÁ 
éáõµ./Ñ³½³ñ ¹ñ³Ù</t>
  </si>
  <si>
    <t>ø³Ý³ÏÁ  ÙÇ³íáñÇ Ñ³Ù³ñ</t>
  </si>
  <si>
    <t xml:space="preserve">Անցումային գործակիցները: </t>
  </si>
  <si>
    <t>աշխատավարձի -</t>
  </si>
  <si>
    <t>մեքենաների շահագործման -</t>
  </si>
  <si>
    <t>մ3</t>
  </si>
  <si>
    <t>100մ2</t>
  </si>
  <si>
    <t>տ</t>
  </si>
  <si>
    <t>Ընդամենը</t>
  </si>
  <si>
    <t>մ2</t>
  </si>
  <si>
    <t>կգ</t>
  </si>
  <si>
    <t>մ</t>
  </si>
  <si>
    <t>Ընդամենը նախահաշվով</t>
  </si>
  <si>
    <t>4-1</t>
  </si>
  <si>
    <t>11-1</t>
  </si>
  <si>
    <t>տոլ</t>
  </si>
  <si>
    <t>E9-24</t>
  </si>
  <si>
    <t>E12-280</t>
  </si>
  <si>
    <t>8-5</t>
  </si>
  <si>
    <t>E10-70</t>
  </si>
  <si>
    <t>գլոցված մոտաղալար</t>
  </si>
  <si>
    <t>հակասեպտիկ մածուկ</t>
  </si>
  <si>
    <t>մեխեր</t>
  </si>
  <si>
    <t>մետաղական կոնստրուկցիաներ-հարմարանքներ հավաքման համար</t>
  </si>
  <si>
    <t>շին. հեղյուս</t>
  </si>
  <si>
    <t>շուկա</t>
  </si>
  <si>
    <t xml:space="preserve">î»Õ³ÛÇÝ Ý³Ë³Ñ³ßÇí ÃÇí </t>
  </si>
  <si>
    <t>²ä²ØàÜî²ÄØ²Ü ²ÞÊ²î²ÜøÜºð</t>
  </si>
  <si>
    <t>փայտանյութ</t>
  </si>
  <si>
    <r>
      <t>¶</t>
    </r>
    <r>
      <rPr>
        <vertAlign val="subscript"/>
        <sz val="10"/>
        <rFont val="Arial LatArm"/>
        <family val="2"/>
      </rPr>
      <t>ïñ³Ýëåáñï</t>
    </r>
    <r>
      <rPr>
        <b/>
        <sz val="10"/>
        <rFont val="Arial LatArm"/>
        <family val="2"/>
      </rPr>
      <t xml:space="preserve"> =</t>
    </r>
  </si>
  <si>
    <r>
      <t>ÜÛáõÃ»ñÇ ÙÇ³íáñÇ ³ñÅ»ùÁ (¶</t>
    </r>
    <r>
      <rPr>
        <vertAlign val="subscript"/>
        <sz val="8"/>
        <rFont val="Arial LatArm"/>
        <family val="2"/>
      </rPr>
      <t>ïñ³Ýëåáñï</t>
    </r>
    <r>
      <rPr>
        <sz val="8"/>
        <rFont val="Arial LatArm"/>
        <family val="2"/>
      </rPr>
      <t>)</t>
    </r>
  </si>
  <si>
    <t>2-1</t>
  </si>
  <si>
    <t>E9-88</t>
  </si>
  <si>
    <t>Անկյունակ  պողպատե, 35x35x3մմ   արժեք</t>
  </si>
  <si>
    <t xml:space="preserve">Անկյունակ  պողպատե, 35x35x3մմ </t>
  </si>
  <si>
    <t>E6-145-4</t>
  </si>
  <si>
    <t>ծանր բետոն B20 դասի</t>
  </si>
  <si>
    <t>կողապատում</t>
  </si>
  <si>
    <t xml:space="preserve">տախտակներ </t>
  </si>
  <si>
    <t>E15-614</t>
  </si>
  <si>
    <t>հատ</t>
  </si>
  <si>
    <t>ձագար</t>
  </si>
  <si>
    <t>ներկ</t>
  </si>
  <si>
    <t>äáÕå³ï» Ù³ë»ñÇ Ý»ñÏáõÙ</t>
  </si>
  <si>
    <t>E12-279</t>
  </si>
  <si>
    <t>ÂÇÃ»ÕÛ³ çñ³ï³ñÝ»ñÇ ù³Ý¹áõÙ (ë¨ ÃÇÃ»ÕÇó íÃ³ñ³ÛÇÝ)</t>
  </si>
  <si>
    <t>100մ</t>
  </si>
  <si>
    <t>8-4</t>
  </si>
  <si>
    <t>ö³Ûï» Íå»ÕÝ»ñÇ ù³Ý¹áõÙ (ÏÇë³÷ï³Í íÇ×³Ï)</t>
  </si>
  <si>
    <t>E12-283</t>
  </si>
  <si>
    <t>ú¹³÷áËáõÃÛ³Ý å³ïáõÑ³ÝÝ»ñÇ ù³Ý¹áõÙ</t>
  </si>
  <si>
    <t>î²ÜÆøÆ Î²ðÎ²êÆ ºì Ì²ÌÎàôÚÂ</t>
  </si>
  <si>
    <t>àñÙÝ³÷³Ûïª 100x120(h) ãáñëáõ, àñÙÝ³÷³ÛïÇ Ï³åª 100x120(h), Î³Ý·Ý³Ïª 100x100(h) ãáñëáõ, î³å³ëïª Ñ»Ý³ï³Ëï³Ï 140x70(h) ãáñëáõ, Ø³ñ¹³Ïª 80x120(h) ãáñëáõ, Ìå»ÕÝ³áïùª 70x140(h) ãáñëáõ, Ì³Ûñ³Ïóáñ¹ª 50x100(h) ï³Ëï³Ï, L=0.90, Ø³ñ¹³ÏÇ Ï³åª 60x120(h) ãáñëáõ,</t>
  </si>
  <si>
    <t>ìñ³¹Çñ ï³Ëï³Ïª 30x150(h) , L=0.52, Â»ù³Ýª 70x140(h) ãáñëáõ</t>
  </si>
  <si>
    <t>¶³·³ÃÇ ï³Ëï³Ïª 150x30(h)</t>
  </si>
  <si>
    <t>ÄáÉáμÇ ï³Ëï³Ï³Ù³Íª 850x30(h)</t>
  </si>
  <si>
    <t>Î³í³ñ³Ù³Íª 150x30(h)</t>
  </si>
  <si>
    <t>E10-71</t>
  </si>
  <si>
    <t>ú¹³÷áËáõÃÛ³Ý å³ïáõÑ³ÝÝ»ñÇ Ï³éáõóáõÙ ×³Õ³í³Ý¹³ÏÇ Ñ»ï</t>
  </si>
  <si>
    <t>12-1</t>
  </si>
  <si>
    <t xml:space="preserve"> ×³Õ³í³Ý¹³Ï</t>
  </si>
  <si>
    <t>E10-201</t>
  </si>
  <si>
    <t>Փայտե կոնստրուկցիաների հրապաշտպանություն</t>
  </si>
  <si>
    <t>37-1</t>
  </si>
  <si>
    <t>ամոնիումի սուլֆատ</t>
  </si>
  <si>
    <t>նավթ</t>
  </si>
  <si>
    <t>ֆոսֆորաթթվի ամոնիում</t>
  </si>
  <si>
    <t>æñ³ï³ñÝ»ñÇ Ï³éáõóáõÙ 0.55 ÙÙ óÇÝÏ³å³ï ÃÇÃ»ÕÇó</t>
  </si>
  <si>
    <t>հարթ ցինկապատ թիթեղ 0.55մմ</t>
  </si>
  <si>
    <t>կռվածք</t>
  </si>
  <si>
    <t>հեղյուսներ և ամրացման էլեմենտներ</t>
  </si>
  <si>
    <t>8-191</t>
  </si>
  <si>
    <t>կոմպ</t>
  </si>
  <si>
    <t>ջրհոս խողովակ</t>
  </si>
  <si>
    <t>ջրհոս</t>
  </si>
  <si>
    <t>Ò»ÕÝ³Ñ³ñÏÇ å³ïáõÑ³ÝÝ»ñÇ ÃÇÃ»
Õ³å³ïáõÙ óÇÝÏ³å³ï ÃÇÃ»Õ 0,55 ÙÙ</t>
  </si>
  <si>
    <t>տանիքի ցինկապատ թիթեղ 0.55մմ</t>
  </si>
  <si>
    <t>Ðáñ³ÝÝ»ñÇ ßáõñçÁ ·á·ÝáóÝ»ñÇ ÃÇÃ»Õª 0.55 ÙÙ</t>
  </si>
  <si>
    <t>Ðáñ³ÝÝ»ñÇ Ã³ë³ÏÝ»ñÇ ÃÇÃ»Õª 0.55 ÙÙ</t>
  </si>
  <si>
    <t>Â³ë³ÏÝ»ñÇ Ï³ñÏ³ëի մոնտաժումª պողպատե անկյունակներից 35x35x3մմ</t>
  </si>
  <si>
    <t>Տանիքի մետաղական ճաղաշարի կառուցում</t>
  </si>
  <si>
    <t>Þ»ñï³åáÕå³ï 50x5, ù. 2,0 Ù.</t>
  </si>
  <si>
    <t>Þ»ñï³åáÕå³ï 50x5,               ù. 2,0 Ù.</t>
  </si>
  <si>
    <t>äáÕå³ï» ËáÕáí³Ï ö20</t>
  </si>
  <si>
    <t>äáÕå³ï» ËáÕáí³Ï ö15</t>
  </si>
  <si>
    <t>ú¹³÷áËáõÃÛ³Ý Ñáñ³ÝÝ»ñÇ í»ñ³Ýáñá·áõÙ 4.0 հատ</t>
  </si>
  <si>
    <t xml:space="preserve">¶³·³ÃÇ óÇÝÏ³å³ï ÃÇÃ»Õª b=330 ÙÙ, 0.55 ÙÙ </t>
  </si>
  <si>
    <t>Ամրան ö10A500C</t>
  </si>
  <si>
    <t>Ամրան ö8AC-I, ù. 200</t>
  </si>
  <si>
    <t>Ամրան ö8AC-I</t>
  </si>
  <si>
    <t>8-186</t>
  </si>
  <si>
    <t>8-24-в</t>
  </si>
  <si>
    <t>Շինարարական աշխատանքներ</t>
  </si>
  <si>
    <t>Գ=0,8</t>
  </si>
  <si>
    <t>E46-98</t>
  </si>
  <si>
    <t>ծունկ</t>
  </si>
  <si>
    <t>Ցինկապատ պրոֆիլավոր թիթեղից՝ КП 25-0.5 մմ ծածկութի մոնտաժում</t>
  </si>
  <si>
    <t>պրոֆիլավոր թիթեղ              КП-25-0,5мм</t>
  </si>
  <si>
    <t>²ëµáßÇý»ñÇó Í³ÍÏáõÛÃÇ    (·áÛáõÃÛáõÝ áõÝ»óáÕ íÃ³ñ³ÛÇÝ)</t>
  </si>
  <si>
    <t>23-229  C310-14</t>
  </si>
  <si>
    <t xml:space="preserve">տոլ </t>
  </si>
  <si>
    <t>E10-203</t>
  </si>
  <si>
    <t>37-3</t>
  </si>
  <si>
    <t>Փայտե Ï³í³ñ³Ù³ÍÇ հրապաշտպանություն</t>
  </si>
  <si>
    <t>ամոնիումի ýáëýáñ</t>
  </si>
  <si>
    <t>ամոնիումի ëáõÉý³ï</t>
  </si>
  <si>
    <t>Ï»ñáëÇÝ</t>
  </si>
  <si>
    <t>æñ³ï³ñ ËáÕáí³ÏÝ»ñÇ ³å³ÝáÝï³ÅáõÙ ձագարների հետ միասին</t>
  </si>
  <si>
    <t>23- 77  23-229  C310-14</t>
  </si>
  <si>
    <t>Ò³·³ñÝ»ñÇ և çñ³Ñ»é³óÙ³Ý ËáÕáí³ÏÝ»ñÇ ï»Õ³¹ñáõÙ
óÇÝÏ³å³ï Ñ³ñÃ ÃÇÃ»ÕÇóª 0,55 ÙÙ., ö120</t>
  </si>
  <si>
    <t>ÞÇÝ. ³ÕμÇ  μ³ñÓáõÙ ¨ ï»Õ³÷áË. 13ÏÙ (Í³ÍÏáõÛÃÇ ù³Ý¹áõÙÇó ³é³ç³ó³Í)</t>
  </si>
  <si>
    <t>ÞÇÝ. ³ÕμÇ Ñ³ÝáõÙ, μ³ñÓáõÙ ¨ ï»Õ³÷áË. 13 ÏÙ (·áÛáõÃÛáõÝ áõÝ»óáÕ)</t>
  </si>
  <si>
    <t>ä³ïÅ·³ÙµÝ»ñÇ ×³ÏïáÝÝ»ñÇ ÃÇÃÕ³å³ïáõÙ</t>
  </si>
  <si>
    <t>E46-122</t>
  </si>
  <si>
    <t xml:space="preserve"> ö³Ûï»ª 1.40*1,15 Ù. ã³÷Ç å³ïáõÑ³ÝÇ ³å³ÙáÝï³ÅáõÙ 4 հատ</t>
  </si>
  <si>
    <t>ի.տ.</t>
  </si>
  <si>
    <t>Մետաղոպլաստե պատուհան,
սպիտակ գույնի, ապակեփաթեթով
4+4 մմ պրոֆիլ  Բացվող</t>
  </si>
  <si>
    <t>Մետաղոպլաստե պատուհան,
սպիտակ գույնի, ապակեփաթեթով
4+4 մմ պրոֆիլ չբացվող</t>
  </si>
  <si>
    <t>êåÇï³Ï Ù»ï³Õ³åÉ³ëï»ª 1.40*1,15 Ù. ã³÷Ç å³ïáõÑ³ÝÇ ÙáÝï³ÅáõÙª µ³óíáÕ Ù³ë</t>
  </si>
  <si>
    <t>êåÇï³Ï Ù»ï³Õ³åÉ³ëï»ª 1.40*1,15 Ù. ã³÷Ç å³ïáõÑ³ÝÇ ÙáÝï³ÅáõÙªãµ³óíáÕ Ù³ë</t>
  </si>
  <si>
    <t>գ.մ</t>
  </si>
  <si>
    <t>äÉ³ëïÙ³ëë» ëåÇï³Ï å³ïáõÑ³Ý³·á·»ñÇ ï»Õ³¹ñáõÙª 350 ÙÙ. É³ÛÝ</t>
  </si>
  <si>
    <t>Պլասմասե պատուհանագոգ սպիտակ 35 սմ</t>
  </si>
  <si>
    <t>ä³ïáõÑ³ÝÝ»ñÇ ·á·»ñÇÝ ·á·ÝáóÝ»ñÇ ï»Õ³¹ñáõÙ` 0.55 ÙÙ ó. Ã</t>
  </si>
  <si>
    <t>0.55 ÙÙ Ñ³ëïáõÃÛ³Ùբ óÇÝÏ³å³ï ÃÇÃ»Õ</t>
  </si>
  <si>
    <t>1-АР15-55У-5</t>
  </si>
  <si>
    <t xml:space="preserve"> ä³ïáõÑ³ÝÝ»ñÇ ß»å»ñÇ ·³ç» ëí³ÕÇ Çñ³Ï³Ý³óáõÙ</t>
  </si>
  <si>
    <t>E46-124</t>
  </si>
  <si>
    <t>32-3</t>
  </si>
  <si>
    <t>ö³Ûï»ª 1.40*2,10 Ù. ã³÷Ç ¹é³Ý ³å³ÙáÝï³ÅáõÙ 2հատ</t>
  </si>
  <si>
    <t xml:space="preserve"> êåÇï³Ï Ù»ï³Õ³åÉ³ëï»ª 1.40*2,10 Ù. ã³÷Ç ¹é³Ý ÙáÝï³ÅáõÙ</t>
  </si>
  <si>
    <t>Մետաղոպլաստե դուռ,
սպիտակ գույնի</t>
  </si>
  <si>
    <t>¸éÝ»ñÇ ß»å»ñÇ ·³ç» ëí³ÕÇ Çñ³Ï³Ý³óáõÙ</t>
  </si>
  <si>
    <t>E15-277-1</t>
  </si>
  <si>
    <t>գաջ</t>
  </si>
  <si>
    <t>23-229  C310-13</t>
  </si>
  <si>
    <t>23- 77  23-229  C310-13</t>
  </si>
  <si>
    <t>ÐÐ Îáï³ÛùÇ Ù³ñ½Ç Øñ·³ß»Ý Ñ³Ù³ÛÝùÇ 7-ñ¹ ÷áÕ. N2 µ³½Ù³µÝ³Ï³ñ³Ý
ß»ÝùÇ  ï³ÝÇùÇ և Ùáõïù»ñÇ í»ñ³Ýáñá·ուÙ</t>
  </si>
  <si>
    <t xml:space="preserve">7-ñ¹ ÷áÕ. N6 µ³½Ù³µÝ³Ï³ñ³Ý ß»Ýù
</t>
  </si>
  <si>
    <t>ԸՆԴԱՄԵՆԸ</t>
  </si>
  <si>
    <t>ԱԱՀ</t>
  </si>
  <si>
    <t>ԾԱՎԱԼԱԹԵՐԹ ՆԱԽԱՀԱՇԻՎ</t>
  </si>
  <si>
    <t>ÀÝ¹Ñ³ÝáõñÇ ³ñÅ»ùÁ տոկոսներով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</si>
</sst>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;;;"/>
    <numFmt numFmtId="167" formatCode="_-* #,##0.00_р_._-;\-* #,##0.00_р_._-;_-* &quot;-&quot;??_р_._-;_-@_-"/>
    <numFmt numFmtId="168" formatCode="0.0%"/>
    <numFmt numFmtId="169" formatCode="0.0000"/>
    <numFmt numFmtId="170" formatCode="0.00000000"/>
  </numFmts>
  <fonts count="44">
    <font>
      <sz val="10"/>
      <name val="Arial"/>
    </font>
    <font>
      <sz val="10"/>
      <name val="Arial Armenian"/>
      <family val="2"/>
    </font>
    <font>
      <b/>
      <sz val="12"/>
      <name val="Arial LatArm"/>
      <family val="2"/>
    </font>
    <font>
      <sz val="10"/>
      <name val="Arial LatArm"/>
      <family val="2"/>
    </font>
    <font>
      <b/>
      <sz val="10"/>
      <name val="Arial LatArm"/>
      <family val="2"/>
    </font>
    <font>
      <b/>
      <sz val="9"/>
      <name val="Arial LatArm"/>
      <family val="2"/>
    </font>
    <font>
      <b/>
      <sz val="11"/>
      <name val="Arial LatArm"/>
      <family val="2"/>
    </font>
    <font>
      <sz val="8"/>
      <name val="Arial LatArm"/>
      <family val="2"/>
    </font>
    <font>
      <sz val="9"/>
      <name val="Arial LatArm"/>
      <family val="2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Armeni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i/>
      <sz val="10"/>
      <name val="Arial LatArm"/>
      <family val="2"/>
    </font>
    <font>
      <i/>
      <sz val="10"/>
      <name val="Arial LatArm"/>
      <family val="2"/>
    </font>
    <font>
      <i/>
      <sz val="9"/>
      <name val="Arial LatArm"/>
      <family val="2"/>
    </font>
    <font>
      <b/>
      <i/>
      <sz val="9"/>
      <name val="Arial LatArm"/>
      <family val="2"/>
    </font>
    <font>
      <vertAlign val="subscript"/>
      <sz val="10"/>
      <name val="Arial LatArm"/>
      <family val="2"/>
    </font>
    <font>
      <b/>
      <sz val="8"/>
      <name val="Arial LatArm"/>
      <family val="2"/>
    </font>
    <font>
      <vertAlign val="subscript"/>
      <sz val="8"/>
      <name val="Arial LatArm"/>
      <family val="2"/>
    </font>
    <font>
      <sz val="9"/>
      <name val="Arial Armenian"/>
      <family val="2"/>
    </font>
    <font>
      <sz val="9"/>
      <name val="Sylfaen"/>
      <family val="1"/>
      <charset val="204"/>
    </font>
    <font>
      <sz val="8"/>
      <name val="Sylfaen"/>
      <family val="1"/>
      <charset val="204"/>
    </font>
    <font>
      <sz val="10"/>
      <name val="Sylfaen"/>
      <family val="1"/>
      <charset val="204"/>
    </font>
    <font>
      <sz val="9"/>
      <name val="Arial AM"/>
      <family val="2"/>
    </font>
    <font>
      <sz val="8"/>
      <name val="Arial AM"/>
      <family val="2"/>
    </font>
    <font>
      <sz val="10"/>
      <color theme="0"/>
      <name val="Arial LatArm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</borders>
  <cellStyleXfs count="69">
    <xf numFmtId="0" fontId="0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167" fontId="12" fillId="0" borderId="0" applyFont="0" applyFill="0" applyBorder="0" applyAlignment="0" applyProtection="0"/>
    <xf numFmtId="0" fontId="12" fillId="0" borderId="0"/>
    <xf numFmtId="0" fontId="9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9" fillId="0" borderId="0"/>
    <xf numFmtId="9" fontId="9" fillId="0" borderId="0" applyFont="0" applyFill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3" fillId="7" borderId="56" applyNumberFormat="0" applyAlignment="0" applyProtection="0"/>
    <xf numFmtId="0" fontId="14" fillId="20" borderId="57" applyNumberFormat="0" applyAlignment="0" applyProtection="0"/>
    <xf numFmtId="0" fontId="15" fillId="20" borderId="56" applyNumberFormat="0" applyAlignment="0" applyProtection="0"/>
    <xf numFmtId="0" fontId="16" fillId="0" borderId="58" applyNumberFormat="0" applyFill="0" applyAlignment="0" applyProtection="0"/>
    <xf numFmtId="0" fontId="17" fillId="0" borderId="59" applyNumberFormat="0" applyFill="0" applyAlignment="0" applyProtection="0"/>
    <xf numFmtId="0" fontId="18" fillId="0" borderId="60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61" applyNumberFormat="0" applyFill="0" applyAlignment="0" applyProtection="0"/>
    <xf numFmtId="0" fontId="20" fillId="21" borderId="62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2" fillId="0" borderId="0"/>
    <xf numFmtId="0" fontId="12" fillId="0" borderId="0"/>
    <xf numFmtId="0" fontId="2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23" borderId="63" applyNumberFormat="0" applyFont="0" applyAlignment="0" applyProtection="0"/>
    <xf numFmtId="0" fontId="27" fillId="0" borderId="64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9" fillId="0" borderId="0"/>
  </cellStyleXfs>
  <cellXfs count="375">
    <xf numFmtId="0" fontId="0" fillId="0" borderId="0" xfId="0"/>
    <xf numFmtId="0" fontId="8" fillId="0" borderId="0" xfId="0" applyNumberFormat="1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vertical="top" shrinkToFit="1"/>
    </xf>
    <xf numFmtId="2" fontId="7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vertical="top"/>
    </xf>
    <xf numFmtId="0" fontId="3" fillId="0" borderId="0" xfId="0" applyFont="1" applyFill="1" applyAlignment="1"/>
    <xf numFmtId="0" fontId="3" fillId="0" borderId="0" xfId="0" applyFont="1" applyFill="1"/>
    <xf numFmtId="165" fontId="3" fillId="0" borderId="0" xfId="0" applyNumberFormat="1" applyFont="1" applyFill="1"/>
    <xf numFmtId="0" fontId="2" fillId="0" borderId="0" xfId="0" applyFont="1" applyFill="1" applyAlignment="1"/>
    <xf numFmtId="0" fontId="30" fillId="0" borderId="0" xfId="0" applyFont="1" applyFill="1" applyAlignment="1">
      <alignment vertical="center"/>
    </xf>
    <xf numFmtId="0" fontId="31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/>
    <xf numFmtId="165" fontId="2" fillId="0" borderId="0" xfId="0" applyNumberFormat="1" applyFont="1" applyFill="1" applyAlignment="1"/>
    <xf numFmtId="165" fontId="3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31" fillId="0" borderId="0" xfId="0" applyFont="1" applyFill="1" applyAlignment="1">
      <alignment horizontal="right"/>
    </xf>
    <xf numFmtId="0" fontId="3" fillId="0" borderId="0" xfId="0" applyFont="1" applyFill="1" applyAlignment="1">
      <alignment horizontal="left" vertical="center"/>
    </xf>
    <xf numFmtId="14" fontId="4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center"/>
    </xf>
    <xf numFmtId="0" fontId="32" fillId="0" borderId="0" xfId="0" applyFont="1" applyFill="1" applyAlignment="1">
      <alignment shrinkToFit="1"/>
    </xf>
    <xf numFmtId="0" fontId="3" fillId="0" borderId="0" xfId="0" applyFont="1" applyFill="1" applyAlignment="1">
      <alignment shrinkToFi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2" fontId="30" fillId="0" borderId="0" xfId="0" applyNumberFormat="1" applyFont="1" applyFill="1" applyAlignment="1">
      <alignment horizontal="left" vertical="center"/>
    </xf>
    <xf numFmtId="0" fontId="30" fillId="0" borderId="0" xfId="0" applyFont="1" applyFill="1" applyAlignment="1"/>
    <xf numFmtId="0" fontId="4" fillId="0" borderId="0" xfId="0" applyFont="1" applyFill="1"/>
    <xf numFmtId="0" fontId="7" fillId="0" borderId="0" xfId="0" applyFont="1" applyFill="1"/>
    <xf numFmtId="0" fontId="8" fillId="0" borderId="20" xfId="0" applyNumberFormat="1" applyFont="1" applyFill="1" applyBorder="1" applyAlignment="1">
      <alignment horizontal="center" vertical="top" shrinkToFit="1"/>
    </xf>
    <xf numFmtId="0" fontId="8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vertical="top"/>
    </xf>
    <xf numFmtId="2" fontId="8" fillId="0" borderId="4" xfId="0" applyNumberFormat="1" applyFont="1" applyFill="1" applyBorder="1" applyAlignment="1">
      <alignment vertical="top" shrinkToFit="1"/>
    </xf>
    <xf numFmtId="2" fontId="8" fillId="0" borderId="23" xfId="0" applyNumberFormat="1" applyFont="1" applyFill="1" applyBorder="1" applyAlignment="1">
      <alignment vertical="top"/>
    </xf>
    <xf numFmtId="2" fontId="8" fillId="0" borderId="29" xfId="0" applyNumberFormat="1" applyFont="1" applyFill="1" applyBorder="1" applyAlignment="1">
      <alignment vertical="top"/>
    </xf>
    <xf numFmtId="2" fontId="7" fillId="0" borderId="3" xfId="0" applyNumberFormat="1" applyFont="1" applyFill="1" applyBorder="1" applyAlignment="1">
      <alignment vertical="top"/>
    </xf>
    <xf numFmtId="0" fontId="8" fillId="0" borderId="3" xfId="0" applyNumberFormat="1" applyFont="1" applyFill="1" applyBorder="1" applyAlignment="1">
      <alignment horizontal="center" vertical="center" shrinkToFit="1"/>
    </xf>
    <xf numFmtId="2" fontId="8" fillId="0" borderId="3" xfId="0" applyNumberFormat="1" applyFont="1" applyFill="1" applyBorder="1" applyAlignment="1">
      <alignment horizontal="center" vertical="center"/>
    </xf>
    <xf numFmtId="2" fontId="8" fillId="0" borderId="3" xfId="0" applyNumberFormat="1" applyFont="1" applyFill="1" applyBorder="1" applyAlignment="1">
      <alignment vertical="top"/>
    </xf>
    <xf numFmtId="2" fontId="8" fillId="0" borderId="22" xfId="0" applyNumberFormat="1" applyFont="1" applyFill="1" applyBorder="1" applyAlignment="1">
      <alignment vertical="top" shrinkToFit="1"/>
    </xf>
    <xf numFmtId="2" fontId="8" fillId="0" borderId="2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Fill="1" applyBorder="1" applyAlignment="1">
      <alignment vertical="top"/>
    </xf>
    <xf numFmtId="0" fontId="8" fillId="0" borderId="20" xfId="0" applyNumberFormat="1" applyFont="1" applyFill="1" applyBorder="1" applyAlignment="1">
      <alignment horizontal="center" vertical="top"/>
    </xf>
    <xf numFmtId="0" fontId="8" fillId="0" borderId="0" xfId="0" applyNumberFormat="1" applyFont="1" applyFill="1" applyBorder="1" applyAlignment="1">
      <alignment horizontal="center" vertical="center"/>
    </xf>
    <xf numFmtId="2" fontId="8" fillId="0" borderId="8" xfId="0" applyNumberFormat="1" applyFont="1" applyFill="1" applyBorder="1" applyAlignment="1">
      <alignment vertical="top"/>
    </xf>
    <xf numFmtId="2" fontId="8" fillId="0" borderId="9" xfId="0" applyNumberFormat="1" applyFont="1" applyFill="1" applyBorder="1" applyAlignment="1">
      <alignment vertical="top"/>
    </xf>
    <xf numFmtId="2" fontId="8" fillId="0" borderId="9" xfId="0" applyNumberFormat="1" applyFont="1" applyFill="1" applyBorder="1" applyAlignment="1">
      <alignment vertical="top" shrinkToFit="1"/>
    </xf>
    <xf numFmtId="2" fontId="8" fillId="0" borderId="18" xfId="0" applyNumberFormat="1" applyFont="1" applyFill="1" applyBorder="1" applyAlignment="1">
      <alignment vertical="center" shrinkToFit="1"/>
    </xf>
    <xf numFmtId="0" fontId="8" fillId="0" borderId="2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vertical="top"/>
    </xf>
    <xf numFmtId="0" fontId="3" fillId="0" borderId="14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 shrinkToFit="1"/>
    </xf>
    <xf numFmtId="2" fontId="8" fillId="0" borderId="10" xfId="0" applyNumberFormat="1" applyFont="1" applyFill="1" applyBorder="1" applyAlignment="1">
      <alignment vertical="top"/>
    </xf>
    <xf numFmtId="2" fontId="8" fillId="0" borderId="11" xfId="0" applyNumberFormat="1" applyFont="1" applyFill="1" applyBorder="1" applyAlignment="1">
      <alignment vertical="top"/>
    </xf>
    <xf numFmtId="2" fontId="7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horizontal="center" vertical="center" shrinkToFit="1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11" xfId="0" applyNumberFormat="1" applyFont="1" applyFill="1" applyBorder="1" applyAlignment="1">
      <alignment vertical="top" shrinkToFit="1"/>
    </xf>
    <xf numFmtId="2" fontId="8" fillId="0" borderId="53" xfId="0" applyNumberFormat="1" applyFont="1" applyFill="1" applyBorder="1" applyAlignment="1">
      <alignment vertical="center" shrinkToFit="1"/>
    </xf>
    <xf numFmtId="0" fontId="8" fillId="0" borderId="43" xfId="0" applyNumberFormat="1" applyFont="1" applyFill="1" applyBorder="1" applyAlignment="1">
      <alignment horizontal="center" vertical="top" shrinkToFit="1"/>
    </xf>
    <xf numFmtId="2" fontId="7" fillId="0" borderId="4" xfId="0" applyNumberFormat="1" applyFont="1" applyFill="1" applyBorder="1" applyAlignment="1">
      <alignment vertical="top"/>
    </xf>
    <xf numFmtId="0" fontId="8" fillId="0" borderId="4" xfId="0" applyNumberFormat="1" applyFont="1" applyFill="1" applyBorder="1" applyAlignment="1">
      <alignment horizontal="center" vertical="center" shrinkToFit="1"/>
    </xf>
    <xf numFmtId="2" fontId="8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center" vertical="center" shrinkToFit="1"/>
    </xf>
    <xf numFmtId="2" fontId="8" fillId="0" borderId="29" xfId="0" applyNumberFormat="1" applyFont="1" applyFill="1" applyBorder="1" applyAlignment="1">
      <alignment vertical="top" shrinkToFit="1"/>
    </xf>
    <xf numFmtId="165" fontId="8" fillId="0" borderId="0" xfId="0" applyNumberFormat="1" applyFont="1" applyFill="1" applyAlignment="1">
      <alignment vertical="top"/>
    </xf>
    <xf numFmtId="0" fontId="8" fillId="0" borderId="0" xfId="0" applyNumberFormat="1" applyFont="1" applyFill="1" applyAlignment="1">
      <alignment vertical="top"/>
    </xf>
    <xf numFmtId="0" fontId="8" fillId="0" borderId="26" xfId="0" applyNumberFormat="1" applyFont="1" applyFill="1" applyBorder="1" applyAlignment="1">
      <alignment horizontal="center" vertical="center" shrinkToFit="1"/>
    </xf>
    <xf numFmtId="2" fontId="8" fillId="0" borderId="26" xfId="0" applyNumberFormat="1" applyFont="1" applyFill="1" applyBorder="1" applyAlignment="1">
      <alignment horizontal="center" vertical="center" shrinkToFit="1"/>
    </xf>
    <xf numFmtId="2" fontId="8" fillId="0" borderId="26" xfId="0" applyNumberFormat="1" applyFont="1" applyFill="1" applyBorder="1" applyAlignment="1">
      <alignment vertical="top" shrinkToFit="1"/>
    </xf>
    <xf numFmtId="2" fontId="8" fillId="0" borderId="30" xfId="0" applyNumberFormat="1" applyFont="1" applyFill="1" applyBorder="1" applyAlignment="1">
      <alignment vertical="top" shrinkToFit="1"/>
    </xf>
    <xf numFmtId="0" fontId="8" fillId="0" borderId="33" xfId="0" applyNumberFormat="1" applyFont="1" applyFill="1" applyBorder="1" applyAlignment="1">
      <alignment horizontal="center" vertical="center" shrinkToFit="1"/>
    </xf>
    <xf numFmtId="2" fontId="8" fillId="0" borderId="33" xfId="0" applyNumberFormat="1" applyFont="1" applyFill="1" applyBorder="1" applyAlignment="1">
      <alignment horizontal="center" vertical="center"/>
    </xf>
    <xf numFmtId="2" fontId="8" fillId="0" borderId="33" xfId="0" applyNumberFormat="1" applyFont="1" applyFill="1" applyBorder="1" applyAlignment="1">
      <alignment horizontal="center" vertical="center" shrinkToFit="1"/>
    </xf>
    <xf numFmtId="2" fontId="8" fillId="0" borderId="33" xfId="0" applyNumberFormat="1" applyFont="1" applyFill="1" applyBorder="1" applyAlignment="1">
      <alignment vertical="top"/>
    </xf>
    <xf numFmtId="2" fontId="8" fillId="0" borderId="38" xfId="0" applyNumberFormat="1" applyFont="1" applyFill="1" applyBorder="1" applyAlignment="1">
      <alignment vertical="top" shrinkToFit="1"/>
    </xf>
    <xf numFmtId="0" fontId="8" fillId="0" borderId="28" xfId="0" applyNumberFormat="1" applyFont="1" applyFill="1" applyBorder="1" applyAlignment="1">
      <alignment horizontal="center" vertical="center" shrinkToFit="1"/>
    </xf>
    <xf numFmtId="2" fontId="8" fillId="0" borderId="28" xfId="0" applyNumberFormat="1" applyFont="1" applyFill="1" applyBorder="1" applyAlignment="1">
      <alignment horizontal="center" vertical="center"/>
    </xf>
    <xf numFmtId="2" fontId="8" fillId="0" borderId="28" xfId="0" applyNumberFormat="1" applyFont="1" applyFill="1" applyBorder="1" applyAlignment="1">
      <alignment horizontal="center" vertical="center" shrinkToFit="1"/>
    </xf>
    <xf numFmtId="2" fontId="8" fillId="0" borderId="28" xfId="0" applyNumberFormat="1" applyFont="1" applyFill="1" applyBorder="1" applyAlignment="1">
      <alignment vertical="top"/>
    </xf>
    <xf numFmtId="2" fontId="8" fillId="0" borderId="31" xfId="0" applyNumberFormat="1" applyFont="1" applyFill="1" applyBorder="1" applyAlignment="1">
      <alignment vertical="top" shrinkToFit="1"/>
    </xf>
    <xf numFmtId="2" fontId="8" fillId="0" borderId="1" xfId="0" applyNumberFormat="1" applyFont="1" applyFill="1" applyBorder="1" applyAlignment="1">
      <alignment horizontal="center" vertical="center" shrinkToFit="1"/>
    </xf>
    <xf numFmtId="49" fontId="7" fillId="0" borderId="34" xfId="0" applyNumberFormat="1" applyFont="1" applyFill="1" applyBorder="1" applyAlignment="1">
      <alignment horizontal="left" vertical="top" wrapText="1"/>
    </xf>
    <xf numFmtId="0" fontId="8" fillId="0" borderId="35" xfId="0" applyNumberFormat="1" applyFont="1" applyFill="1" applyBorder="1" applyAlignment="1">
      <alignment horizontal="center" vertical="center" shrinkToFit="1"/>
    </xf>
    <xf numFmtId="2" fontId="8" fillId="0" borderId="35" xfId="0" applyNumberFormat="1" applyFont="1" applyFill="1" applyBorder="1" applyAlignment="1">
      <alignment horizontal="center" vertical="center" shrinkToFit="1"/>
    </xf>
    <xf numFmtId="2" fontId="8" fillId="0" borderId="35" xfId="0" applyNumberFormat="1" applyFont="1" applyFill="1" applyBorder="1" applyAlignment="1">
      <alignment vertical="top" shrinkToFit="1"/>
    </xf>
    <xf numFmtId="2" fontId="8" fillId="0" borderId="40" xfId="0" applyNumberFormat="1" applyFont="1" applyFill="1" applyBorder="1" applyAlignment="1">
      <alignment vertical="top" shrinkToFit="1"/>
    </xf>
    <xf numFmtId="0" fontId="5" fillId="0" borderId="44" xfId="0" applyNumberFormat="1" applyFont="1" applyFill="1" applyBorder="1" applyAlignment="1">
      <alignment horizontal="center" vertical="top"/>
    </xf>
    <xf numFmtId="0" fontId="5" fillId="0" borderId="3" xfId="0" applyNumberFormat="1" applyFont="1" applyFill="1" applyBorder="1" applyAlignment="1">
      <alignment vertical="top"/>
    </xf>
    <xf numFmtId="0" fontId="35" fillId="0" borderId="2" xfId="0" applyNumberFormat="1" applyFont="1" applyFill="1" applyBorder="1" applyAlignment="1">
      <alignment vertical="top"/>
    </xf>
    <xf numFmtId="0" fontId="5" fillId="0" borderId="3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shrinkToFit="1"/>
    </xf>
    <xf numFmtId="2" fontId="5" fillId="0" borderId="3" xfId="0" applyNumberFormat="1" applyFont="1" applyFill="1" applyBorder="1" applyAlignment="1">
      <alignment vertical="top"/>
    </xf>
    <xf numFmtId="2" fontId="5" fillId="0" borderId="3" xfId="0" applyNumberFormat="1" applyFont="1" applyFill="1" applyBorder="1" applyAlignment="1">
      <alignment vertical="top" shrinkToFit="1"/>
    </xf>
    <xf numFmtId="2" fontId="5" fillId="0" borderId="41" xfId="0" applyNumberFormat="1" applyFont="1" applyFill="1" applyBorder="1" applyAlignment="1">
      <alignment vertical="top"/>
    </xf>
    <xf numFmtId="2" fontId="5" fillId="0" borderId="22" xfId="0" applyNumberFormat="1" applyFont="1" applyFill="1" applyBorder="1" applyAlignment="1">
      <alignment vertical="top"/>
    </xf>
    <xf numFmtId="2" fontId="35" fillId="0" borderId="3" xfId="0" applyNumberFormat="1" applyFont="1" applyFill="1" applyBorder="1" applyAlignment="1">
      <alignment vertical="top"/>
    </xf>
    <xf numFmtId="0" fontId="5" fillId="0" borderId="3" xfId="0" applyNumberFormat="1" applyFont="1" applyFill="1" applyBorder="1" applyAlignment="1">
      <alignment horizontal="center" vertical="center" shrinkToFit="1"/>
    </xf>
    <xf numFmtId="2" fontId="5" fillId="0" borderId="3" xfId="0" applyNumberFormat="1" applyFont="1" applyFill="1" applyBorder="1" applyAlignment="1">
      <alignment horizontal="center" vertical="center"/>
    </xf>
    <xf numFmtId="2" fontId="5" fillId="0" borderId="3" xfId="0" applyNumberFormat="1" applyFont="1" applyFill="1" applyBorder="1" applyAlignment="1">
      <alignment horizontal="center" vertical="center" shrinkToFit="1"/>
    </xf>
    <xf numFmtId="2" fontId="5" fillId="0" borderId="48" xfId="0" applyNumberFormat="1" applyFont="1" applyFill="1" applyBorder="1" applyAlignment="1">
      <alignment vertical="center" shrinkToFit="1"/>
    </xf>
    <xf numFmtId="2" fontId="8" fillId="0" borderId="3" xfId="0" applyNumberFormat="1" applyFont="1" applyFill="1" applyBorder="1" applyAlignment="1">
      <alignment horizontal="center" vertical="center" shrinkToFit="1"/>
    </xf>
    <xf numFmtId="0" fontId="8" fillId="0" borderId="37" xfId="0" applyNumberFormat="1" applyFont="1" applyFill="1" applyBorder="1" applyAlignment="1">
      <alignment horizontal="center" vertical="center" shrinkToFit="1"/>
    </xf>
    <xf numFmtId="2" fontId="8" fillId="0" borderId="37" xfId="0" applyNumberFormat="1" applyFont="1" applyFill="1" applyBorder="1" applyAlignment="1">
      <alignment horizontal="center" vertical="center" shrinkToFit="1"/>
    </xf>
    <xf numFmtId="2" fontId="8" fillId="0" borderId="37" xfId="0" applyNumberFormat="1" applyFont="1" applyFill="1" applyBorder="1" applyAlignment="1">
      <alignment vertical="top" shrinkToFit="1"/>
    </xf>
    <xf numFmtId="2" fontId="8" fillId="0" borderId="39" xfId="0" applyNumberFormat="1" applyFont="1" applyFill="1" applyBorder="1" applyAlignment="1">
      <alignment vertical="top" shrinkToFit="1"/>
    </xf>
    <xf numFmtId="0" fontId="4" fillId="0" borderId="44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left" vertical="center"/>
    </xf>
    <xf numFmtId="0" fontId="4" fillId="0" borderId="48" xfId="0" applyFont="1" applyFill="1" applyBorder="1" applyAlignment="1">
      <alignment horizontal="left" vertical="center"/>
    </xf>
    <xf numFmtId="0" fontId="5" fillId="0" borderId="50" xfId="0" applyNumberFormat="1" applyFont="1" applyFill="1" applyBorder="1" applyAlignment="1">
      <alignment horizontal="center" vertical="top"/>
    </xf>
    <xf numFmtId="0" fontId="35" fillId="0" borderId="22" xfId="0" applyNumberFormat="1" applyFont="1" applyFill="1" applyBorder="1" applyAlignment="1">
      <alignment vertical="top"/>
    </xf>
    <xf numFmtId="2" fontId="5" fillId="0" borderId="41" xfId="0" applyNumberFormat="1" applyFont="1" applyFill="1" applyBorder="1" applyAlignment="1">
      <alignment horizontal="center" vertical="center" shrinkToFit="1"/>
    </xf>
    <xf numFmtId="0" fontId="3" fillId="0" borderId="13" xfId="0" applyNumberFormat="1" applyFont="1" applyFill="1" applyBorder="1" applyAlignment="1">
      <alignment vertical="top"/>
    </xf>
    <xf numFmtId="2" fontId="8" fillId="0" borderId="46" xfId="0" applyNumberFormat="1" applyFont="1" applyFill="1" applyBorder="1" applyAlignment="1">
      <alignment vertical="center" shrinkToFit="1"/>
    </xf>
    <xf numFmtId="0" fontId="8" fillId="0" borderId="51" xfId="0" applyNumberFormat="1" applyFont="1" applyFill="1" applyBorder="1" applyAlignment="1">
      <alignment horizontal="center" vertical="top"/>
    </xf>
    <xf numFmtId="0" fontId="3" fillId="0" borderId="9" xfId="0" applyNumberFormat="1" applyFont="1" applyFill="1" applyBorder="1" applyAlignment="1">
      <alignment vertical="top"/>
    </xf>
    <xf numFmtId="2" fontId="8" fillId="0" borderId="8" xfId="0" applyNumberFormat="1" applyFont="1" applyFill="1" applyBorder="1" applyAlignment="1">
      <alignment horizontal="center" vertical="center" shrinkToFit="1"/>
    </xf>
    <xf numFmtId="0" fontId="4" fillId="0" borderId="52" xfId="0" applyNumberFormat="1" applyFont="1" applyFill="1" applyBorder="1" applyAlignment="1">
      <alignment horizontal="right" vertical="center"/>
    </xf>
    <xf numFmtId="0" fontId="4" fillId="0" borderId="24" xfId="0" applyNumberFormat="1" applyFont="1" applyFill="1" applyBorder="1" applyAlignment="1">
      <alignment horizontal="right" vertical="center"/>
    </xf>
    <xf numFmtId="0" fontId="4" fillId="0" borderId="45" xfId="0" applyNumberFormat="1" applyFont="1" applyFill="1" applyBorder="1" applyAlignment="1">
      <alignment horizontal="right" vertical="center"/>
    </xf>
    <xf numFmtId="2" fontId="4" fillId="0" borderId="42" xfId="0" applyNumberFormat="1" applyFont="1" applyFill="1" applyBorder="1" applyAlignment="1">
      <alignment horizontal="right" vertical="center" shrinkToFit="1"/>
    </xf>
    <xf numFmtId="2" fontId="4" fillId="0" borderId="24" xfId="0" applyNumberFormat="1" applyFont="1" applyFill="1" applyBorder="1" applyAlignment="1">
      <alignment horizontal="right" vertical="center"/>
    </xf>
    <xf numFmtId="2" fontId="4" fillId="0" borderId="24" xfId="0" applyNumberFormat="1" applyFont="1" applyFill="1" applyBorder="1" applyAlignment="1">
      <alignment horizontal="right" vertical="center" shrinkToFit="1"/>
    </xf>
    <xf numFmtId="0" fontId="4" fillId="0" borderId="24" xfId="0" applyNumberFormat="1" applyFont="1" applyFill="1" applyBorder="1" applyAlignment="1">
      <alignment horizontal="right" vertical="center" shrinkToFit="1"/>
    </xf>
    <xf numFmtId="2" fontId="4" fillId="0" borderId="49" xfId="0" applyNumberFormat="1" applyFont="1" applyFill="1" applyBorder="1" applyAlignment="1">
      <alignment horizontal="right" vertical="center" shrinkToFit="1"/>
    </xf>
    <xf numFmtId="0" fontId="8" fillId="0" borderId="0" xfId="0" applyNumberFormat="1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center" shrinkToFit="1"/>
    </xf>
    <xf numFmtId="0" fontId="4" fillId="0" borderId="2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horizontal="left" vertical="center"/>
    </xf>
    <xf numFmtId="0" fontId="4" fillId="0" borderId="46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64" fontId="8" fillId="0" borderId="26" xfId="0" applyNumberFormat="1" applyFont="1" applyFill="1" applyBorder="1" applyAlignment="1">
      <alignment vertical="top" shrinkToFit="1"/>
    </xf>
    <xf numFmtId="2" fontId="8" fillId="0" borderId="11" xfId="0" applyNumberFormat="1" applyFont="1" applyFill="1" applyBorder="1" applyAlignment="1">
      <alignment horizontal="center" vertical="center" shrinkToFit="1"/>
    </xf>
    <xf numFmtId="2" fontId="8" fillId="0" borderId="9" xfId="0" applyNumberFormat="1" applyFont="1" applyFill="1" applyBorder="1" applyAlignment="1">
      <alignment horizontal="center" vertical="center" shrinkToFit="1"/>
    </xf>
    <xf numFmtId="2" fontId="8" fillId="0" borderId="43" xfId="0" applyNumberFormat="1" applyFont="1" applyFill="1" applyBorder="1" applyAlignment="1">
      <alignment horizontal="center" vertical="top" shrinkToFit="1"/>
    </xf>
    <xf numFmtId="0" fontId="8" fillId="0" borderId="13" xfId="0" applyNumberFormat="1" applyFont="1" applyFill="1" applyBorder="1" applyAlignment="1">
      <alignment horizontal="center" vertical="center"/>
    </xf>
    <xf numFmtId="0" fontId="8" fillId="0" borderId="14" xfId="0" applyNumberFormat="1" applyFont="1" applyFill="1" applyBorder="1" applyAlignment="1">
      <alignment horizontal="center" vertical="center"/>
    </xf>
    <xf numFmtId="164" fontId="8" fillId="0" borderId="26" xfId="0" applyNumberFormat="1" applyFont="1" applyFill="1" applyBorder="1" applyAlignment="1">
      <alignment horizontal="center" vertical="center" shrinkToFit="1"/>
    </xf>
    <xf numFmtId="49" fontId="7" fillId="0" borderId="65" xfId="0" applyNumberFormat="1" applyFont="1" applyFill="1" applyBorder="1" applyAlignment="1">
      <alignment horizontal="left" vertical="top" wrapText="1"/>
    </xf>
    <xf numFmtId="0" fontId="8" fillId="0" borderId="66" xfId="0" applyNumberFormat="1" applyFont="1" applyFill="1" applyBorder="1" applyAlignment="1">
      <alignment horizontal="center" vertical="center" shrinkToFit="1"/>
    </xf>
    <xf numFmtId="2" fontId="8" fillId="0" borderId="66" xfId="0" applyNumberFormat="1" applyFont="1" applyFill="1" applyBorder="1" applyAlignment="1">
      <alignment horizontal="center" vertical="center" shrinkToFit="1"/>
    </xf>
    <xf numFmtId="2" fontId="8" fillId="0" borderId="66" xfId="0" applyNumberFormat="1" applyFont="1" applyFill="1" applyBorder="1" applyAlignment="1">
      <alignment vertical="top" shrinkToFit="1"/>
    </xf>
    <xf numFmtId="2" fontId="8" fillId="0" borderId="67" xfId="0" applyNumberFormat="1" applyFont="1" applyFill="1" applyBorder="1" applyAlignment="1">
      <alignment vertical="top" shrinkToFit="1"/>
    </xf>
    <xf numFmtId="164" fontId="8" fillId="0" borderId="13" xfId="0" applyNumberFormat="1" applyFont="1" applyFill="1" applyBorder="1" applyAlignment="1">
      <alignment horizontal="center" vertical="center" shrinkToFit="1"/>
    </xf>
    <xf numFmtId="0" fontId="31" fillId="0" borderId="0" xfId="68" applyFont="1" applyFill="1" applyAlignment="1">
      <alignment horizontal="left"/>
    </xf>
    <xf numFmtId="0" fontId="8" fillId="0" borderId="35" xfId="0" applyNumberFormat="1" applyFont="1" applyFill="1" applyBorder="1" applyAlignment="1">
      <alignment horizontal="center" vertical="top" shrinkToFit="1"/>
    </xf>
    <xf numFmtId="2" fontId="8" fillId="0" borderId="35" xfId="0" applyNumberFormat="1" applyFont="1" applyFill="1" applyBorder="1" applyAlignment="1">
      <alignment horizontal="center" vertical="top" shrinkToFit="1"/>
    </xf>
    <xf numFmtId="0" fontId="3" fillId="0" borderId="14" xfId="0" applyNumberFormat="1" applyFont="1" applyFill="1" applyBorder="1" applyAlignment="1">
      <alignment horizontal="left" vertical="top" wrapText="1"/>
    </xf>
    <xf numFmtId="2" fontId="7" fillId="0" borderId="41" xfId="0" applyNumberFormat="1" applyFont="1" applyFill="1" applyBorder="1" applyAlignment="1">
      <alignment vertical="top"/>
    </xf>
    <xf numFmtId="0" fontId="8" fillId="0" borderId="28" xfId="0" applyNumberFormat="1" applyFont="1" applyFill="1" applyBorder="1" applyAlignment="1">
      <alignment horizontal="center" vertical="top" shrinkToFit="1"/>
    </xf>
    <xf numFmtId="2" fontId="8" fillId="0" borderId="28" xfId="0" applyNumberFormat="1" applyFont="1" applyFill="1" applyBorder="1" applyAlignment="1">
      <alignment vertical="top" shrinkToFit="1"/>
    </xf>
    <xf numFmtId="0" fontId="8" fillId="0" borderId="37" xfId="0" applyNumberFormat="1" applyFont="1" applyFill="1" applyBorder="1" applyAlignment="1">
      <alignment horizontal="center" vertical="top" shrinkToFit="1"/>
    </xf>
    <xf numFmtId="2" fontId="8" fillId="0" borderId="37" xfId="0" applyNumberFormat="1" applyFont="1" applyFill="1" applyBorder="1" applyAlignment="1">
      <alignment horizontal="center" vertical="top" shrinkToFit="1"/>
    </xf>
    <xf numFmtId="164" fontId="8" fillId="0" borderId="12" xfId="0" applyNumberFormat="1" applyFont="1" applyFill="1" applyBorder="1" applyAlignment="1">
      <alignment horizontal="center" vertical="center" shrinkToFit="1"/>
    </xf>
    <xf numFmtId="168" fontId="8" fillId="0" borderId="0" xfId="0" applyNumberFormat="1" applyFont="1" applyFill="1" applyBorder="1" applyAlignment="1">
      <alignment horizontal="center" vertical="center"/>
    </xf>
    <xf numFmtId="164" fontId="8" fillId="0" borderId="37" xfId="0" applyNumberFormat="1" applyFont="1" applyFill="1" applyBorder="1" applyAlignment="1">
      <alignment vertical="top" shrinkToFit="1"/>
    </xf>
    <xf numFmtId="164" fontId="8" fillId="0" borderId="4" xfId="0" applyNumberFormat="1" applyFont="1" applyFill="1" applyBorder="1" applyAlignment="1">
      <alignment vertical="top"/>
    </xf>
    <xf numFmtId="164" fontId="8" fillId="0" borderId="35" xfId="0" applyNumberFormat="1" applyFont="1" applyFill="1" applyBorder="1" applyAlignment="1">
      <alignment vertical="top" shrinkToFit="1"/>
    </xf>
    <xf numFmtId="2" fontId="8" fillId="0" borderId="28" xfId="0" applyNumberFormat="1" applyFont="1" applyFill="1" applyBorder="1" applyAlignment="1">
      <alignment horizontal="center" vertical="top" shrinkToFit="1"/>
    </xf>
    <xf numFmtId="164" fontId="8" fillId="0" borderId="66" xfId="0" applyNumberFormat="1" applyFont="1" applyFill="1" applyBorder="1" applyAlignment="1">
      <alignment vertical="top" shrinkToFit="1"/>
    </xf>
    <xf numFmtId="164" fontId="8" fillId="0" borderId="0" xfId="0" applyNumberFormat="1" applyFont="1" applyFill="1" applyBorder="1" applyAlignment="1">
      <alignment vertical="top" shrinkToFit="1"/>
    </xf>
    <xf numFmtId="164" fontId="8" fillId="0" borderId="28" xfId="0" applyNumberFormat="1" applyFont="1" applyFill="1" applyBorder="1" applyAlignment="1">
      <alignment vertical="top" shrinkToFit="1"/>
    </xf>
    <xf numFmtId="164" fontId="8" fillId="0" borderId="28" xfId="0" applyNumberFormat="1" applyFont="1" applyFill="1" applyBorder="1" applyAlignment="1">
      <alignment vertical="top"/>
    </xf>
    <xf numFmtId="164" fontId="8" fillId="0" borderId="0" xfId="0" applyNumberFormat="1" applyFont="1" applyFill="1" applyBorder="1" applyAlignment="1">
      <alignment vertical="top"/>
    </xf>
    <xf numFmtId="169" fontId="8" fillId="0" borderId="4" xfId="0" applyNumberFormat="1" applyFont="1" applyFill="1" applyBorder="1" applyAlignment="1">
      <alignment vertical="top" shrinkToFit="1"/>
    </xf>
    <xf numFmtId="169" fontId="8" fillId="0" borderId="4" xfId="0" applyNumberFormat="1" applyFont="1" applyFill="1" applyBorder="1" applyAlignment="1">
      <alignment horizontal="center" vertical="top" shrinkToFit="1"/>
    </xf>
    <xf numFmtId="0" fontId="37" fillId="0" borderId="20" xfId="0" applyNumberFormat="1" applyFont="1" applyFill="1" applyBorder="1" applyAlignment="1">
      <alignment horizontal="center" vertical="top" shrinkToFit="1"/>
    </xf>
    <xf numFmtId="49" fontId="37" fillId="0" borderId="4" xfId="0" applyNumberFormat="1" applyFont="1" applyFill="1" applyBorder="1" applyAlignment="1">
      <alignment horizontal="center" vertical="top" wrapText="1"/>
    </xf>
    <xf numFmtId="0" fontId="37" fillId="0" borderId="4" xfId="0" applyNumberFormat="1" applyFont="1" applyFill="1" applyBorder="1" applyAlignment="1">
      <alignment horizontal="center" vertical="center"/>
    </xf>
    <xf numFmtId="2" fontId="37" fillId="0" borderId="4" xfId="0" applyNumberFormat="1" applyFont="1" applyFill="1" applyBorder="1" applyAlignment="1">
      <alignment vertical="top"/>
    </xf>
    <xf numFmtId="2" fontId="37" fillId="0" borderId="4" xfId="0" applyNumberFormat="1" applyFont="1" applyFill="1" applyBorder="1" applyAlignment="1">
      <alignment vertical="top" shrinkToFit="1"/>
    </xf>
    <xf numFmtId="2" fontId="37" fillId="0" borderId="23" xfId="0" applyNumberFormat="1" applyFont="1" applyFill="1" applyBorder="1" applyAlignment="1">
      <alignment vertical="top"/>
    </xf>
    <xf numFmtId="2" fontId="37" fillId="0" borderId="29" xfId="0" applyNumberFormat="1" applyFont="1" applyFill="1" applyBorder="1" applyAlignment="1">
      <alignment vertical="top"/>
    </xf>
    <xf numFmtId="2" fontId="39" fillId="0" borderId="3" xfId="0" applyNumberFormat="1" applyFont="1" applyFill="1" applyBorder="1" applyAlignment="1">
      <alignment vertical="top"/>
    </xf>
    <xf numFmtId="0" fontId="37" fillId="0" borderId="3" xfId="0" applyNumberFormat="1" applyFont="1" applyFill="1" applyBorder="1" applyAlignment="1">
      <alignment horizontal="center" vertical="center" shrinkToFit="1"/>
    </xf>
    <xf numFmtId="2" fontId="37" fillId="0" borderId="3" xfId="0" applyNumberFormat="1" applyFont="1" applyFill="1" applyBorder="1" applyAlignment="1">
      <alignment horizontal="center" vertical="center"/>
    </xf>
    <xf numFmtId="2" fontId="37" fillId="0" borderId="3" xfId="0" applyNumberFormat="1" applyFont="1" applyFill="1" applyBorder="1" applyAlignment="1">
      <alignment vertical="top"/>
    </xf>
    <xf numFmtId="2" fontId="37" fillId="0" borderId="22" xfId="0" applyNumberFormat="1" applyFont="1" applyFill="1" applyBorder="1" applyAlignment="1">
      <alignment vertical="top" shrinkToFit="1"/>
    </xf>
    <xf numFmtId="2" fontId="37" fillId="0" borderId="2" xfId="0" applyNumberFormat="1" applyFont="1" applyFill="1" applyBorder="1" applyAlignment="1">
      <alignment horizontal="center" vertical="center" shrinkToFit="1"/>
    </xf>
    <xf numFmtId="165" fontId="37" fillId="0" borderId="0" xfId="0" applyNumberFormat="1" applyFont="1" applyFill="1" applyBorder="1" applyAlignment="1">
      <alignment vertical="top"/>
    </xf>
    <xf numFmtId="0" fontId="37" fillId="0" borderId="0" xfId="0" applyNumberFormat="1" applyFont="1" applyFill="1" applyBorder="1" applyAlignment="1">
      <alignment vertical="top"/>
    </xf>
    <xf numFmtId="0" fontId="37" fillId="0" borderId="20" xfId="0" applyNumberFormat="1" applyFont="1" applyFill="1" applyBorder="1" applyAlignment="1">
      <alignment horizontal="center" vertical="top"/>
    </xf>
    <xf numFmtId="49" fontId="37" fillId="0" borderId="0" xfId="0" applyNumberFormat="1" applyFont="1" applyFill="1" applyBorder="1" applyAlignment="1">
      <alignment horizontal="center" vertical="top" wrapText="1"/>
    </xf>
    <xf numFmtId="0" fontId="37" fillId="0" borderId="0" xfId="0" applyNumberFormat="1" applyFont="1" applyFill="1" applyBorder="1" applyAlignment="1">
      <alignment horizontal="center" vertical="center"/>
    </xf>
    <xf numFmtId="2" fontId="37" fillId="0" borderId="0" xfId="0" applyNumberFormat="1" applyFont="1" applyFill="1" applyBorder="1" applyAlignment="1">
      <alignment vertical="top"/>
    </xf>
    <xf numFmtId="2" fontId="37" fillId="0" borderId="8" xfId="0" applyNumberFormat="1" applyFont="1" applyFill="1" applyBorder="1" applyAlignment="1">
      <alignment vertical="top"/>
    </xf>
    <xf numFmtId="2" fontId="37" fillId="0" borderId="9" xfId="0" applyNumberFormat="1" applyFont="1" applyFill="1" applyBorder="1" applyAlignment="1">
      <alignment vertical="top"/>
    </xf>
    <xf numFmtId="2" fontId="39" fillId="0" borderId="0" xfId="0" applyNumberFormat="1" applyFont="1" applyFill="1" applyBorder="1" applyAlignment="1">
      <alignment vertical="top"/>
    </xf>
    <xf numFmtId="0" fontId="37" fillId="0" borderId="0" xfId="0" applyNumberFormat="1" applyFont="1" applyFill="1" applyBorder="1" applyAlignment="1">
      <alignment horizontal="center" vertical="center" shrinkToFit="1"/>
    </xf>
    <xf numFmtId="2" fontId="37" fillId="0" borderId="0" xfId="0" applyNumberFormat="1" applyFont="1" applyFill="1" applyBorder="1" applyAlignment="1">
      <alignment horizontal="center" vertical="center"/>
    </xf>
    <xf numFmtId="2" fontId="37" fillId="0" borderId="9" xfId="0" applyNumberFormat="1" applyFont="1" applyFill="1" applyBorder="1" applyAlignment="1">
      <alignment vertical="top" shrinkToFit="1"/>
    </xf>
    <xf numFmtId="2" fontId="37" fillId="0" borderId="18" xfId="0" applyNumberFormat="1" applyFont="1" applyFill="1" applyBorder="1" applyAlignment="1">
      <alignment vertical="center" shrinkToFit="1"/>
    </xf>
    <xf numFmtId="0" fontId="37" fillId="0" borderId="21" xfId="0" applyNumberFormat="1" applyFont="1" applyFill="1" applyBorder="1" applyAlignment="1">
      <alignment horizontal="center" vertical="top"/>
    </xf>
    <xf numFmtId="0" fontId="37" fillId="0" borderId="1" xfId="0" applyNumberFormat="1" applyFont="1" applyFill="1" applyBorder="1" applyAlignment="1">
      <alignment vertical="top"/>
    </xf>
    <xf numFmtId="0" fontId="40" fillId="0" borderId="14" xfId="0" applyNumberFormat="1" applyFont="1" applyFill="1" applyBorder="1" applyAlignment="1">
      <alignment vertical="top"/>
    </xf>
    <xf numFmtId="0" fontId="37" fillId="0" borderId="1" xfId="0" applyNumberFormat="1" applyFont="1" applyFill="1" applyBorder="1" applyAlignment="1">
      <alignment horizontal="center" vertical="center"/>
    </xf>
    <xf numFmtId="2" fontId="37" fillId="0" borderId="14" xfId="0" applyNumberFormat="1" applyFont="1" applyFill="1" applyBorder="1" applyAlignment="1">
      <alignment horizontal="center" vertical="center" shrinkToFit="1"/>
    </xf>
    <xf numFmtId="2" fontId="37" fillId="0" borderId="1" xfId="0" applyNumberFormat="1" applyFont="1" applyFill="1" applyBorder="1" applyAlignment="1">
      <alignment vertical="top"/>
    </xf>
    <xf numFmtId="2" fontId="37" fillId="0" borderId="1" xfId="0" applyNumberFormat="1" applyFont="1" applyFill="1" applyBorder="1" applyAlignment="1">
      <alignment vertical="top" shrinkToFit="1"/>
    </xf>
    <xf numFmtId="2" fontId="37" fillId="0" borderId="10" xfId="0" applyNumberFormat="1" applyFont="1" applyFill="1" applyBorder="1" applyAlignment="1">
      <alignment vertical="top"/>
    </xf>
    <xf numFmtId="2" fontId="37" fillId="0" borderId="11" xfId="0" applyNumberFormat="1" applyFont="1" applyFill="1" applyBorder="1" applyAlignment="1">
      <alignment vertical="top"/>
    </xf>
    <xf numFmtId="2" fontId="39" fillId="0" borderId="1" xfId="0" applyNumberFormat="1" applyFont="1" applyFill="1" applyBorder="1" applyAlignment="1">
      <alignment vertical="top"/>
    </xf>
    <xf numFmtId="0" fontId="37" fillId="0" borderId="1" xfId="0" applyNumberFormat="1" applyFont="1" applyFill="1" applyBorder="1" applyAlignment="1">
      <alignment horizontal="center" vertical="center" shrinkToFit="1"/>
    </xf>
    <xf numFmtId="2" fontId="37" fillId="0" borderId="1" xfId="0" applyNumberFormat="1" applyFont="1" applyFill="1" applyBorder="1" applyAlignment="1">
      <alignment horizontal="center" vertical="center"/>
    </xf>
    <xf numFmtId="2" fontId="37" fillId="0" borderId="11" xfId="0" applyNumberFormat="1" applyFont="1" applyFill="1" applyBorder="1" applyAlignment="1">
      <alignment vertical="top" shrinkToFit="1"/>
    </xf>
    <xf numFmtId="2" fontId="37" fillId="0" borderId="53" xfId="0" applyNumberFormat="1" applyFont="1" applyFill="1" applyBorder="1" applyAlignment="1">
      <alignment vertical="center" shrinkToFit="1"/>
    </xf>
    <xf numFmtId="164" fontId="37" fillId="0" borderId="12" xfId="0" applyNumberFormat="1" applyFont="1" applyFill="1" applyBorder="1" applyAlignment="1">
      <alignment horizontal="center" vertical="center" shrinkToFit="1"/>
    </xf>
    <xf numFmtId="2" fontId="37" fillId="0" borderId="0" xfId="0" applyNumberFormat="1" applyFont="1" applyFill="1" applyBorder="1" applyAlignment="1">
      <alignment vertical="top" shrinkToFit="1"/>
    </xf>
    <xf numFmtId="0" fontId="37" fillId="0" borderId="43" xfId="0" applyNumberFormat="1" applyFont="1" applyFill="1" applyBorder="1" applyAlignment="1">
      <alignment horizontal="center" vertical="top" shrinkToFit="1"/>
    </xf>
    <xf numFmtId="2" fontId="39" fillId="0" borderId="4" xfId="0" applyNumberFormat="1" applyFont="1" applyFill="1" applyBorder="1" applyAlignment="1">
      <alignment vertical="top"/>
    </xf>
    <xf numFmtId="0" fontId="37" fillId="0" borderId="4" xfId="0" applyNumberFormat="1" applyFont="1" applyFill="1" applyBorder="1" applyAlignment="1">
      <alignment horizontal="center" vertical="center" shrinkToFit="1"/>
    </xf>
    <xf numFmtId="2" fontId="37" fillId="0" borderId="4" xfId="0" applyNumberFormat="1" applyFont="1" applyFill="1" applyBorder="1" applyAlignment="1">
      <alignment horizontal="center" vertical="center"/>
    </xf>
    <xf numFmtId="2" fontId="37" fillId="0" borderId="4" xfId="0" applyNumberFormat="1" applyFont="1" applyFill="1" applyBorder="1" applyAlignment="1">
      <alignment horizontal="center" vertical="center" shrinkToFit="1"/>
    </xf>
    <xf numFmtId="2" fontId="37" fillId="0" borderId="29" xfId="0" applyNumberFormat="1" applyFont="1" applyFill="1" applyBorder="1" applyAlignment="1">
      <alignment vertical="top" shrinkToFit="1"/>
    </xf>
    <xf numFmtId="165" fontId="37" fillId="0" borderId="0" xfId="0" applyNumberFormat="1" applyFont="1" applyFill="1" applyAlignment="1">
      <alignment vertical="top"/>
    </xf>
    <xf numFmtId="0" fontId="37" fillId="0" borderId="0" xfId="0" applyNumberFormat="1" applyFont="1" applyFill="1" applyAlignment="1">
      <alignment vertical="top"/>
    </xf>
    <xf numFmtId="0" fontId="37" fillId="0" borderId="26" xfId="0" applyNumberFormat="1" applyFont="1" applyFill="1" applyBorder="1" applyAlignment="1">
      <alignment horizontal="center" vertical="center" shrinkToFit="1"/>
    </xf>
    <xf numFmtId="2" fontId="37" fillId="0" borderId="26" xfId="0" applyNumberFormat="1" applyFont="1" applyFill="1" applyBorder="1" applyAlignment="1">
      <alignment horizontal="center" vertical="center" shrinkToFit="1"/>
    </xf>
    <xf numFmtId="2" fontId="37" fillId="0" borderId="26" xfId="0" applyNumberFormat="1" applyFont="1" applyFill="1" applyBorder="1" applyAlignment="1">
      <alignment vertical="top" shrinkToFit="1"/>
    </xf>
    <xf numFmtId="2" fontId="37" fillId="0" borderId="30" xfId="0" applyNumberFormat="1" applyFont="1" applyFill="1" applyBorder="1" applyAlignment="1">
      <alignment vertical="top" shrinkToFit="1"/>
    </xf>
    <xf numFmtId="0" fontId="37" fillId="0" borderId="33" xfId="0" applyNumberFormat="1" applyFont="1" applyFill="1" applyBorder="1" applyAlignment="1">
      <alignment horizontal="center" vertical="center" shrinkToFit="1"/>
    </xf>
    <xf numFmtId="2" fontId="37" fillId="0" borderId="33" xfId="0" applyNumberFormat="1" applyFont="1" applyFill="1" applyBorder="1" applyAlignment="1">
      <alignment horizontal="center" vertical="center"/>
    </xf>
    <xf numFmtId="2" fontId="37" fillId="0" borderId="33" xfId="0" applyNumberFormat="1" applyFont="1" applyFill="1" applyBorder="1" applyAlignment="1">
      <alignment horizontal="center" vertical="center" shrinkToFit="1"/>
    </xf>
    <xf numFmtId="2" fontId="37" fillId="0" borderId="33" xfId="0" applyNumberFormat="1" applyFont="1" applyFill="1" applyBorder="1" applyAlignment="1">
      <alignment vertical="top"/>
    </xf>
    <xf numFmtId="2" fontId="37" fillId="0" borderId="38" xfId="0" applyNumberFormat="1" applyFont="1" applyFill="1" applyBorder="1" applyAlignment="1">
      <alignment vertical="top" shrinkToFit="1"/>
    </xf>
    <xf numFmtId="0" fontId="37" fillId="0" borderId="28" xfId="0" applyNumberFormat="1" applyFont="1" applyFill="1" applyBorder="1" applyAlignment="1">
      <alignment horizontal="center" vertical="center" shrinkToFit="1"/>
    </xf>
    <xf numFmtId="2" fontId="37" fillId="0" borderId="28" xfId="0" applyNumberFormat="1" applyFont="1" applyFill="1" applyBorder="1" applyAlignment="1">
      <alignment horizontal="center" vertical="center"/>
    </xf>
    <xf numFmtId="2" fontId="37" fillId="0" borderId="28" xfId="0" applyNumberFormat="1" applyFont="1" applyFill="1" applyBorder="1" applyAlignment="1">
      <alignment horizontal="center" vertical="center" shrinkToFit="1"/>
    </xf>
    <xf numFmtId="2" fontId="37" fillId="0" borderId="28" xfId="0" applyNumberFormat="1" applyFont="1" applyFill="1" applyBorder="1" applyAlignment="1">
      <alignment vertical="top"/>
    </xf>
    <xf numFmtId="2" fontId="37" fillId="0" borderId="31" xfId="0" applyNumberFormat="1" applyFont="1" applyFill="1" applyBorder="1" applyAlignment="1">
      <alignment vertical="top" shrinkToFit="1"/>
    </xf>
    <xf numFmtId="49" fontId="38" fillId="0" borderId="14" xfId="0" applyNumberFormat="1" applyFont="1" applyFill="1" applyBorder="1" applyAlignment="1">
      <alignment horizontal="left" vertical="top" wrapText="1"/>
    </xf>
    <xf numFmtId="49" fontId="39" fillId="0" borderId="1" xfId="0" applyNumberFormat="1" applyFont="1" applyFill="1" applyBorder="1" applyAlignment="1">
      <alignment horizontal="left" vertical="top" wrapText="1"/>
    </xf>
    <xf numFmtId="2" fontId="37" fillId="0" borderId="1" xfId="0" applyNumberFormat="1" applyFont="1" applyFill="1" applyBorder="1" applyAlignment="1">
      <alignment horizontal="center" vertical="center" shrinkToFit="1"/>
    </xf>
    <xf numFmtId="49" fontId="7" fillId="0" borderId="69" xfId="0" applyNumberFormat="1" applyFont="1" applyFill="1" applyBorder="1" applyAlignment="1">
      <alignment horizontal="left" vertical="top" wrapText="1"/>
    </xf>
    <xf numFmtId="0" fontId="8" fillId="0" borderId="70" xfId="0" applyNumberFormat="1" applyFont="1" applyFill="1" applyBorder="1" applyAlignment="1">
      <alignment horizontal="center" vertical="center" shrinkToFit="1"/>
    </xf>
    <xf numFmtId="2" fontId="8" fillId="0" borderId="70" xfId="0" applyNumberFormat="1" applyFont="1" applyFill="1" applyBorder="1" applyAlignment="1">
      <alignment horizontal="center" vertical="center" shrinkToFit="1"/>
    </xf>
    <xf numFmtId="164" fontId="8" fillId="0" borderId="70" xfId="0" applyNumberFormat="1" applyFont="1" applyFill="1" applyBorder="1" applyAlignment="1">
      <alignment vertical="top" shrinkToFit="1"/>
    </xf>
    <xf numFmtId="2" fontId="8" fillId="0" borderId="71" xfId="0" applyNumberFormat="1" applyFont="1" applyFill="1" applyBorder="1" applyAlignment="1">
      <alignment vertical="top" shrinkToFit="1"/>
    </xf>
    <xf numFmtId="0" fontId="5" fillId="0" borderId="4" xfId="0" applyNumberFormat="1" applyFont="1" applyFill="1" applyBorder="1" applyAlignment="1">
      <alignment vertical="top"/>
    </xf>
    <xf numFmtId="0" fontId="5" fillId="0" borderId="4" xfId="0" applyNumberFormat="1" applyFont="1" applyFill="1" applyBorder="1" applyAlignment="1">
      <alignment horizontal="center" vertical="center"/>
    </xf>
    <xf numFmtId="2" fontId="5" fillId="0" borderId="12" xfId="0" applyNumberFormat="1" applyFont="1" applyFill="1" applyBorder="1" applyAlignment="1">
      <alignment horizontal="center" vertical="center" shrinkToFit="1"/>
    </xf>
    <xf numFmtId="2" fontId="5" fillId="0" borderId="4" xfId="0" applyNumberFormat="1" applyFont="1" applyFill="1" applyBorder="1" applyAlignment="1">
      <alignment vertical="top"/>
    </xf>
    <xf numFmtId="2" fontId="5" fillId="0" borderId="4" xfId="0" applyNumberFormat="1" applyFont="1" applyFill="1" applyBorder="1" applyAlignment="1">
      <alignment vertical="top" shrinkToFit="1"/>
    </xf>
    <xf numFmtId="2" fontId="5" fillId="0" borderId="23" xfId="0" applyNumberFormat="1" applyFont="1" applyFill="1" applyBorder="1" applyAlignment="1">
      <alignment vertical="top"/>
    </xf>
    <xf numFmtId="2" fontId="5" fillId="0" borderId="29" xfId="0" applyNumberFormat="1" applyFont="1" applyFill="1" applyBorder="1" applyAlignment="1">
      <alignment vertical="top"/>
    </xf>
    <xf numFmtId="2" fontId="5" fillId="0" borderId="4" xfId="0" applyNumberFormat="1" applyFont="1" applyFill="1" applyBorder="1" applyAlignment="1">
      <alignment horizontal="center" vertical="center" shrinkToFit="1"/>
    </xf>
    <xf numFmtId="2" fontId="5" fillId="0" borderId="72" xfId="0" applyNumberFormat="1" applyFont="1" applyFill="1" applyBorder="1" applyAlignment="1">
      <alignment vertical="center" shrinkToFit="1"/>
    </xf>
    <xf numFmtId="0" fontId="35" fillId="0" borderId="12" xfId="0" applyNumberFormat="1" applyFont="1" applyFill="1" applyBorder="1" applyAlignment="1">
      <alignment horizontal="center" vertical="center"/>
    </xf>
    <xf numFmtId="169" fontId="37" fillId="0" borderId="12" xfId="0" applyNumberFormat="1" applyFont="1" applyFill="1" applyBorder="1" applyAlignment="1">
      <alignment horizontal="center" vertical="center" shrinkToFit="1"/>
    </xf>
    <xf numFmtId="169" fontId="8" fillId="0" borderId="12" xfId="0" applyNumberFormat="1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center"/>
    </xf>
    <xf numFmtId="49" fontId="8" fillId="0" borderId="13" xfId="0" applyNumberFormat="1" applyFont="1" applyFill="1" applyBorder="1" applyAlignment="1">
      <alignment horizontal="left" vertical="top" wrapText="1"/>
    </xf>
    <xf numFmtId="2" fontId="8" fillId="0" borderId="12" xfId="0" applyNumberFormat="1" applyFont="1" applyFill="1" applyBorder="1" applyAlignment="1">
      <alignment horizontal="center" vertical="center" shrinkToFit="1"/>
    </xf>
    <xf numFmtId="2" fontId="8" fillId="0" borderId="13" xfId="0" applyNumberFormat="1" applyFont="1" applyFill="1" applyBorder="1" applyAlignment="1">
      <alignment horizontal="center" vertical="center" shrinkToFit="1"/>
    </xf>
    <xf numFmtId="2" fontId="8" fillId="0" borderId="47" xfId="0" applyNumberFormat="1" applyFont="1" applyFill="1" applyBorder="1" applyAlignment="1">
      <alignment horizontal="center" vertical="center" shrinkToFit="1"/>
    </xf>
    <xf numFmtId="2" fontId="8" fillId="0" borderId="18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left" vertical="top" wrapText="1"/>
    </xf>
    <xf numFmtId="49" fontId="7" fillId="0" borderId="27" xfId="0" applyNumberFormat="1" applyFont="1" applyFill="1" applyBorder="1" applyAlignment="1">
      <alignment horizontal="left" vertical="top" wrapText="1"/>
    </xf>
    <xf numFmtId="2" fontId="8" fillId="0" borderId="14" xfId="0" applyNumberFormat="1" applyFont="1" applyFill="1" applyBorder="1" applyAlignment="1">
      <alignment horizontal="center" vertical="center" shrinkToFit="1"/>
    </xf>
    <xf numFmtId="49" fontId="7" fillId="0" borderId="36" xfId="0" applyNumberFormat="1" applyFont="1" applyFill="1" applyBorder="1" applyAlignment="1">
      <alignment horizontal="left" vertical="top" wrapText="1"/>
    </xf>
    <xf numFmtId="0" fontId="31" fillId="0" borderId="0" xfId="0" applyFont="1" applyFill="1" applyAlignment="1">
      <alignment horizontal="center"/>
    </xf>
    <xf numFmtId="0" fontId="31" fillId="0" borderId="0" xfId="0" applyFont="1" applyFill="1" applyAlignment="1">
      <alignment horizontal="left"/>
    </xf>
    <xf numFmtId="2" fontId="37" fillId="0" borderId="12" xfId="0" applyNumberFormat="1" applyFont="1" applyFill="1" applyBorder="1" applyAlignment="1">
      <alignment horizontal="center" vertical="center" shrinkToFit="1"/>
    </xf>
    <xf numFmtId="2" fontId="37" fillId="0" borderId="13" xfId="0" applyNumberFormat="1" applyFont="1" applyFill="1" applyBorder="1" applyAlignment="1">
      <alignment horizontal="center" vertical="center" shrinkToFit="1"/>
    </xf>
    <xf numFmtId="2" fontId="37" fillId="0" borderId="47" xfId="0" applyNumberFormat="1" applyFont="1" applyFill="1" applyBorder="1" applyAlignment="1">
      <alignment horizontal="center" vertical="center" shrinkToFi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2" fontId="37" fillId="0" borderId="47" xfId="0" applyNumberFormat="1" applyFont="1" applyFill="1" applyBorder="1" applyAlignment="1">
      <alignment horizontal="center" vertical="center" shrinkToFit="1"/>
    </xf>
    <xf numFmtId="2" fontId="8" fillId="0" borderId="47" xfId="0" applyNumberFormat="1" applyFont="1" applyFill="1" applyBorder="1" applyAlignment="1">
      <alignment horizontal="center" vertical="center" shrinkToFit="1"/>
    </xf>
    <xf numFmtId="2" fontId="8" fillId="0" borderId="18" xfId="0" applyNumberFormat="1" applyFont="1" applyFill="1" applyBorder="1" applyAlignment="1">
      <alignment horizontal="center" vertical="center" shrinkToFit="1"/>
    </xf>
    <xf numFmtId="170" fontId="43" fillId="0" borderId="0" xfId="0" applyNumberFormat="1" applyFont="1" applyFill="1"/>
    <xf numFmtId="2" fontId="5" fillId="0" borderId="46" xfId="0" applyNumberFormat="1" applyFont="1" applyFill="1" applyBorder="1" applyAlignment="1">
      <alignment vertical="center" shrinkToFit="1"/>
    </xf>
    <xf numFmtId="49" fontId="8" fillId="0" borderId="12" xfId="0" applyNumberFormat="1" applyFont="1" applyFill="1" applyBorder="1" applyAlignment="1">
      <alignment horizontal="left" vertical="top" wrapText="1"/>
    </xf>
    <xf numFmtId="49" fontId="8" fillId="0" borderId="13" xfId="0" applyNumberFormat="1" applyFont="1" applyFill="1" applyBorder="1" applyAlignment="1">
      <alignment horizontal="left" vertical="top" wrapText="1"/>
    </xf>
    <xf numFmtId="2" fontId="8" fillId="0" borderId="12" xfId="0" applyNumberFormat="1" applyFont="1" applyFill="1" applyBorder="1" applyAlignment="1">
      <alignment horizontal="center" vertical="center" shrinkToFit="1"/>
    </xf>
    <xf numFmtId="2" fontId="8" fillId="0" borderId="13" xfId="0" applyNumberFormat="1" applyFont="1" applyFill="1" applyBorder="1" applyAlignment="1">
      <alignment horizontal="center" vertical="center" shrinkToFit="1"/>
    </xf>
    <xf numFmtId="2" fontId="8" fillId="0" borderId="47" xfId="0" applyNumberFormat="1" applyFont="1" applyFill="1" applyBorder="1" applyAlignment="1">
      <alignment horizontal="center" vertical="center" shrinkToFit="1"/>
    </xf>
    <xf numFmtId="2" fontId="8" fillId="0" borderId="18" xfId="0" applyNumberFormat="1" applyFont="1" applyFill="1" applyBorder="1" applyAlignment="1">
      <alignment horizontal="center" vertical="center" shrinkToFit="1"/>
    </xf>
    <xf numFmtId="49" fontId="7" fillId="0" borderId="25" xfId="0" applyNumberFormat="1" applyFont="1" applyFill="1" applyBorder="1" applyAlignment="1">
      <alignment horizontal="left" vertical="top" wrapText="1"/>
    </xf>
    <xf numFmtId="49" fontId="7" fillId="0" borderId="27" xfId="0" applyNumberFormat="1" applyFont="1" applyFill="1" applyBorder="1" applyAlignment="1">
      <alignment horizontal="left" vertical="top" wrapText="1"/>
    </xf>
    <xf numFmtId="49" fontId="8" fillId="0" borderId="14" xfId="0" applyNumberFormat="1" applyFont="1" applyFill="1" applyBorder="1" applyAlignment="1">
      <alignment horizontal="left" vertical="top" wrapText="1"/>
    </xf>
    <xf numFmtId="2" fontId="8" fillId="0" borderId="14" xfId="0" applyNumberFormat="1" applyFont="1" applyFill="1" applyBorder="1" applyAlignment="1">
      <alignment horizontal="center" vertical="center" shrinkToFit="1"/>
    </xf>
    <xf numFmtId="49" fontId="41" fillId="0" borderId="12" xfId="0" applyNumberFormat="1" applyFont="1" applyFill="1" applyBorder="1" applyAlignment="1">
      <alignment horizontal="left" vertical="top" wrapText="1"/>
    </xf>
    <xf numFmtId="49" fontId="38" fillId="0" borderId="13" xfId="0" applyNumberFormat="1" applyFont="1" applyFill="1" applyBorder="1" applyAlignment="1">
      <alignment horizontal="left" vertical="top" wrapText="1"/>
    </xf>
    <xf numFmtId="2" fontId="37" fillId="0" borderId="47" xfId="0" applyNumberFormat="1" applyFont="1" applyFill="1" applyBorder="1" applyAlignment="1">
      <alignment horizontal="center" vertical="center" shrinkToFit="1"/>
    </xf>
    <xf numFmtId="2" fontId="37" fillId="0" borderId="18" xfId="0" applyNumberFormat="1" applyFont="1" applyFill="1" applyBorder="1" applyAlignment="1">
      <alignment horizontal="center" vertical="center" shrinkToFit="1"/>
    </xf>
    <xf numFmtId="49" fontId="39" fillId="0" borderId="25" xfId="0" applyNumberFormat="1" applyFont="1" applyFill="1" applyBorder="1" applyAlignment="1">
      <alignment horizontal="left" vertical="top" wrapText="1"/>
    </xf>
    <xf numFmtId="49" fontId="39" fillId="0" borderId="32" xfId="0" applyNumberFormat="1" applyFont="1" applyFill="1" applyBorder="1" applyAlignment="1">
      <alignment horizontal="left" vertical="top" wrapText="1"/>
    </xf>
    <xf numFmtId="49" fontId="39" fillId="0" borderId="27" xfId="0" applyNumberFormat="1" applyFont="1" applyFill="1" applyBorder="1" applyAlignment="1">
      <alignment horizontal="left" vertical="top" wrapText="1"/>
    </xf>
    <xf numFmtId="49" fontId="41" fillId="0" borderId="13" xfId="0" applyNumberFormat="1" applyFont="1" applyFill="1" applyBorder="1" applyAlignment="1">
      <alignment horizontal="left" vertical="top" wrapText="1"/>
    </xf>
    <xf numFmtId="49" fontId="7" fillId="0" borderId="54" xfId="0" applyNumberFormat="1" applyFont="1" applyFill="1" applyBorder="1" applyAlignment="1">
      <alignment horizontal="left" vertical="top" wrapText="1"/>
    </xf>
    <xf numFmtId="49" fontId="7" fillId="0" borderId="55" xfId="0" applyNumberFormat="1" applyFont="1" applyFill="1" applyBorder="1" applyAlignment="1">
      <alignment horizontal="left" vertical="top" wrapText="1"/>
    </xf>
    <xf numFmtId="49" fontId="7" fillId="0" borderId="32" xfId="0" applyNumberFormat="1" applyFont="1" applyFill="1" applyBorder="1" applyAlignment="1">
      <alignment horizontal="left" vertical="top" wrapText="1"/>
    </xf>
    <xf numFmtId="49" fontId="7" fillId="0" borderId="36" xfId="0" applyNumberFormat="1" applyFont="1" applyFill="1" applyBorder="1" applyAlignment="1">
      <alignment horizontal="left" vertical="top" wrapText="1"/>
    </xf>
    <xf numFmtId="49" fontId="7" fillId="0" borderId="12" xfId="0" applyNumberFormat="1" applyFont="1" applyFill="1" applyBorder="1" applyAlignment="1">
      <alignment horizontal="center" vertical="top" wrapText="1"/>
    </xf>
    <xf numFmtId="49" fontId="7" fillId="0" borderId="13" xfId="0" applyNumberFormat="1" applyFont="1" applyFill="1" applyBorder="1" applyAlignment="1">
      <alignment horizontal="center" vertical="top" wrapText="1"/>
    </xf>
    <xf numFmtId="0" fontId="4" fillId="0" borderId="4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6" xfId="0" applyFont="1" applyFill="1" applyBorder="1" applyAlignment="1">
      <alignment horizontal="center" vertical="center" textRotation="90" wrapText="1"/>
    </xf>
    <xf numFmtId="0" fontId="7" fillId="0" borderId="7" xfId="0" applyFont="1" applyFill="1" applyBorder="1" applyAlignment="1">
      <alignment horizontal="center" vertical="center" textRotation="90" wrapText="1"/>
    </xf>
    <xf numFmtId="0" fontId="7" fillId="0" borderId="8" xfId="0" applyFont="1" applyFill="1" applyBorder="1" applyAlignment="1">
      <alignment horizontal="center" vertical="center" textRotation="90" wrapText="1"/>
    </xf>
    <xf numFmtId="0" fontId="7" fillId="0" borderId="0" xfId="0" applyFont="1" applyFill="1" applyBorder="1" applyAlignment="1">
      <alignment horizontal="center" vertical="center" textRotation="90" wrapText="1"/>
    </xf>
    <xf numFmtId="0" fontId="7" fillId="0" borderId="9" xfId="0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7" fillId="0" borderId="11" xfId="0" applyFont="1" applyFill="1" applyBorder="1" applyAlignment="1">
      <alignment horizontal="center" vertical="center" textRotation="90" wrapText="1"/>
    </xf>
    <xf numFmtId="0" fontId="35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textRotation="90" wrapText="1"/>
    </xf>
    <xf numFmtId="0" fontId="7" fillId="0" borderId="10" xfId="0" applyFont="1" applyFill="1" applyBorder="1" applyAlignment="1">
      <alignment horizontal="center" textRotation="90" wrapText="1"/>
    </xf>
    <xf numFmtId="0" fontId="7" fillId="0" borderId="16" xfId="0" applyFont="1" applyFill="1" applyBorder="1" applyAlignment="1">
      <alignment horizontal="center" vertical="center" textRotation="90" wrapText="1"/>
    </xf>
    <xf numFmtId="0" fontId="7" fillId="0" borderId="13" xfId="0" applyFont="1" applyFill="1" applyBorder="1" applyAlignment="1">
      <alignment horizontal="center" textRotation="90" wrapText="1"/>
    </xf>
    <xf numFmtId="0" fontId="7" fillId="0" borderId="14" xfId="0" applyFont="1" applyFill="1" applyBorder="1" applyAlignment="1">
      <alignment horizontal="center" textRotation="90" wrapText="1"/>
    </xf>
    <xf numFmtId="0" fontId="7" fillId="0" borderId="17" xfId="0" applyFont="1" applyFill="1" applyBorder="1" applyAlignment="1">
      <alignment horizontal="center" vertical="center" textRotation="90" wrapText="1"/>
    </xf>
    <xf numFmtId="0" fontId="7" fillId="0" borderId="18" xfId="0" applyFont="1" applyFill="1" applyBorder="1" applyAlignment="1">
      <alignment horizontal="center" textRotation="90" wrapText="1"/>
    </xf>
    <xf numFmtId="0" fontId="7" fillId="0" borderId="53" xfId="0" applyFont="1" applyFill="1" applyBorder="1" applyAlignment="1">
      <alignment horizontal="center" textRotation="90" wrapText="1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7" fillId="0" borderId="12" xfId="0" applyFont="1" applyFill="1" applyBorder="1" applyAlignment="1">
      <alignment horizontal="center" vertical="center" textRotation="90" wrapText="1"/>
    </xf>
    <xf numFmtId="0" fontId="31" fillId="0" borderId="0" xfId="0" applyFont="1" applyFill="1" applyAlignment="1">
      <alignment horizontal="center"/>
    </xf>
    <xf numFmtId="0" fontId="32" fillId="0" borderId="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wrapText="1"/>
    </xf>
    <xf numFmtId="0" fontId="31" fillId="0" borderId="0" xfId="0" applyFont="1" applyFill="1" applyAlignment="1">
      <alignment horizontal="left"/>
    </xf>
    <xf numFmtId="2" fontId="33" fillId="0" borderId="0" xfId="0" applyNumberFormat="1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14" fontId="31" fillId="0" borderId="0" xfId="0" applyNumberFormat="1" applyFont="1" applyFill="1" applyAlignment="1">
      <alignment horizontal="left"/>
    </xf>
    <xf numFmtId="0" fontId="3" fillId="0" borderId="13" xfId="0" applyFont="1" applyFill="1" applyBorder="1" applyAlignment="1">
      <alignment horizontal="center" vertical="center" textRotation="90" wrapText="1"/>
    </xf>
    <xf numFmtId="0" fontId="3" fillId="0" borderId="14" xfId="0" applyFont="1" applyFill="1" applyBorder="1" applyAlignment="1">
      <alignment horizontal="center" vertical="center" textRotation="90" wrapText="1"/>
    </xf>
    <xf numFmtId="0" fontId="30" fillId="0" borderId="0" xfId="0" applyFont="1" applyFill="1" applyAlignment="1">
      <alignment horizontal="center" vertical="center" shrinkToFit="1"/>
    </xf>
    <xf numFmtId="164" fontId="30" fillId="0" borderId="0" xfId="0" applyNumberFormat="1" applyFont="1" applyFill="1" applyAlignment="1">
      <alignment horizontal="left" vertical="center"/>
    </xf>
    <xf numFmtId="164" fontId="3" fillId="0" borderId="0" xfId="0" applyNumberFormat="1" applyFont="1" applyFill="1" applyAlignment="1">
      <alignment horizontal="left" vertical="center"/>
    </xf>
    <xf numFmtId="2" fontId="30" fillId="0" borderId="0" xfId="0" applyNumberFormat="1" applyFont="1" applyFill="1" applyAlignment="1">
      <alignment horizontal="left" vertical="center" shrinkToFit="1"/>
    </xf>
    <xf numFmtId="0" fontId="3" fillId="0" borderId="0" xfId="0" applyFont="1" applyFill="1" applyAlignment="1">
      <alignment horizontal="left" vertical="center" shrinkToFi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textRotation="90" wrapText="1"/>
    </xf>
    <xf numFmtId="0" fontId="7" fillId="0" borderId="14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textRotation="90" wrapText="1"/>
    </xf>
    <xf numFmtId="0" fontId="3" fillId="0" borderId="14" xfId="0" applyFont="1" applyFill="1" applyBorder="1" applyAlignment="1">
      <alignment horizontal="center" textRotation="90" wrapText="1"/>
    </xf>
    <xf numFmtId="2" fontId="8" fillId="0" borderId="53" xfId="0" applyNumberFormat="1" applyFont="1" applyFill="1" applyBorder="1" applyAlignment="1">
      <alignment horizontal="center" vertical="center" shrinkToFit="1"/>
    </xf>
    <xf numFmtId="49" fontId="39" fillId="0" borderId="54" xfId="0" applyNumberFormat="1" applyFont="1" applyFill="1" applyBorder="1" applyAlignment="1">
      <alignment horizontal="left" vertical="top" wrapText="1"/>
    </xf>
    <xf numFmtId="49" fontId="39" fillId="0" borderId="68" xfId="0" applyNumberFormat="1" applyFont="1" applyFill="1" applyBorder="1" applyAlignment="1">
      <alignment horizontal="left" vertical="top" wrapText="1"/>
    </xf>
    <xf numFmtId="49" fontId="39" fillId="0" borderId="55" xfId="0" applyNumberFormat="1" applyFont="1" applyFill="1" applyBorder="1" applyAlignment="1">
      <alignment horizontal="left" vertical="top" wrapText="1"/>
    </xf>
    <xf numFmtId="49" fontId="42" fillId="0" borderId="54" xfId="0" applyNumberFormat="1" applyFont="1" applyFill="1" applyBorder="1" applyAlignment="1">
      <alignment horizontal="left" vertical="top" wrapText="1"/>
    </xf>
    <xf numFmtId="49" fontId="42" fillId="0" borderId="68" xfId="0" applyNumberFormat="1" applyFont="1" applyFill="1" applyBorder="1" applyAlignment="1">
      <alignment horizontal="left" vertical="top" wrapText="1"/>
    </xf>
    <xf numFmtId="49" fontId="42" fillId="0" borderId="55" xfId="0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center" vertical="center" shrinkToFit="1"/>
    </xf>
    <xf numFmtId="49" fontId="8" fillId="0" borderId="0" xfId="0" applyNumberFormat="1" applyFont="1" applyFill="1" applyBorder="1" applyAlignment="1">
      <alignment horizontal="center" vertical="top" wrapText="1"/>
    </xf>
    <xf numFmtId="0" fontId="4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10" fontId="5" fillId="0" borderId="48" xfId="0" applyNumberFormat="1" applyFont="1" applyFill="1" applyBorder="1" applyAlignment="1">
      <alignment vertical="center" shrinkToFit="1"/>
    </xf>
    <xf numFmtId="10" fontId="4" fillId="0" borderId="49" xfId="0" applyNumberFormat="1" applyFont="1" applyFill="1" applyBorder="1" applyAlignment="1">
      <alignment horizontal="right" vertical="center" shrinkToFit="1"/>
    </xf>
  </cellXfs>
  <cellStyles count="69">
    <cellStyle name="20% - Акцент1" xfId="6"/>
    <cellStyle name="20% - Акцент2" xfId="7"/>
    <cellStyle name="20% - Акцент3" xfId="8"/>
    <cellStyle name="20% - Акцент4" xfId="9"/>
    <cellStyle name="20% - Акцент5" xfId="10"/>
    <cellStyle name="20% - Акцент6" xfId="11"/>
    <cellStyle name="40% - Акцент1" xfId="12"/>
    <cellStyle name="40% - Акцент2" xfId="13"/>
    <cellStyle name="40% - Акцент3" xfId="14"/>
    <cellStyle name="40% - Акцент4" xfId="15"/>
    <cellStyle name="40% - Акцент5" xfId="16"/>
    <cellStyle name="40% - Акцент6" xfId="17"/>
    <cellStyle name="60% - Акцент1" xfId="18"/>
    <cellStyle name="60% - Акцент2" xfId="19"/>
    <cellStyle name="60% - Акцент3" xfId="20"/>
    <cellStyle name="60% - Акцент4" xfId="21"/>
    <cellStyle name="60% - Акцент5" xfId="22"/>
    <cellStyle name="60% - Акцент6" xfId="23"/>
    <cellStyle name="Comma 2" xfId="24"/>
    <cellStyle name="Normal" xfId="0" builtinId="0"/>
    <cellStyle name="Normal 10" xfId="25"/>
    <cellStyle name="Normal 2" xfId="1"/>
    <cellStyle name="Normal 2 2" xfId="2"/>
    <cellStyle name="Normal 2 2 2" xfId="5"/>
    <cellStyle name="Normal 2 2 3" xfId="4"/>
    <cellStyle name="Normal 2 2_ALL 2011 tiv" xfId="26"/>
    <cellStyle name="Normal 2 3" xfId="27"/>
    <cellStyle name="Normal 2 4" xfId="28"/>
    <cellStyle name="Normal 2_1.Копия SMETA BANADZEV-26.08.2015 (1) (1)" xfId="29"/>
    <cellStyle name="Normal 3" xfId="3"/>
    <cellStyle name="Normal 3 2" xfId="30"/>
    <cellStyle name="Normal 3 2 2" xfId="31"/>
    <cellStyle name="Normal 3 3" xfId="32"/>
    <cellStyle name="Normal 3_1.Копия SMETA BANADZEV-26.08.2015 (1) (1)" xfId="33"/>
    <cellStyle name="Normal 4" xfId="34"/>
    <cellStyle name="Normal 5" xfId="35"/>
    <cellStyle name="Normal 6" xfId="36"/>
    <cellStyle name="Normal 7" xfId="37"/>
    <cellStyle name="Normal 7 2" xfId="38"/>
    <cellStyle name="Normal 8" xfId="39"/>
    <cellStyle name="Normal 9" xfId="40"/>
    <cellStyle name="Normal_Artchut-2_plotina 2 2" xfId="68"/>
    <cellStyle name="Percent 2" xfId="41"/>
    <cellStyle name="Акцент1" xfId="42"/>
    <cellStyle name="Акцент2" xfId="43"/>
    <cellStyle name="Акцент3" xfId="44"/>
    <cellStyle name="Акцент4" xfId="45"/>
    <cellStyle name="Акцент5" xfId="46"/>
    <cellStyle name="Акцент6" xfId="47"/>
    <cellStyle name="Ввод " xfId="48"/>
    <cellStyle name="Вывод" xfId="49"/>
    <cellStyle name="Вычисление" xfId="50"/>
    <cellStyle name="Заголовок 1" xfId="51"/>
    <cellStyle name="Заголовок 2" xfId="52"/>
    <cellStyle name="Заголовок 3" xfId="53"/>
    <cellStyle name="Заголовок 4" xfId="54"/>
    <cellStyle name="Итог" xfId="55"/>
    <cellStyle name="Контрольная ячейка" xfId="56"/>
    <cellStyle name="Название" xfId="57"/>
    <cellStyle name="Нейтральный" xfId="58"/>
    <cellStyle name="Обычный 2" xfId="59"/>
    <cellStyle name="Обычный 2 2" xfId="60"/>
    <cellStyle name="Обычный 3" xfId="61"/>
    <cellStyle name="Плохой" xfId="62"/>
    <cellStyle name="Пояснение" xfId="63"/>
    <cellStyle name="Примечание" xfId="64"/>
    <cellStyle name="Связанная ячейка" xfId="65"/>
    <cellStyle name="Текст предупреждения" xfId="66"/>
    <cellStyle name="Хороший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438"/>
  <sheetViews>
    <sheetView tabSelected="1" topLeftCell="A385" workbookViewId="0">
      <selection activeCell="U443" sqref="U443"/>
    </sheetView>
  </sheetViews>
  <sheetFormatPr defaultRowHeight="12.75"/>
  <cols>
    <col min="1" max="1" width="3.85546875" style="131" customWidth="1"/>
    <col min="2" max="2" width="9.5703125" style="43" customWidth="1"/>
    <col min="3" max="3" width="51.140625" style="132" customWidth="1"/>
    <col min="4" max="4" width="5.85546875" style="45" customWidth="1"/>
    <col min="5" max="5" width="6.28515625" style="5" customWidth="1"/>
    <col min="6" max="6" width="0.140625" style="6" hidden="1" customWidth="1"/>
    <col min="7" max="7" width="5.85546875" style="2" hidden="1" customWidth="1"/>
    <col min="8" max="9" width="0.7109375" style="6" hidden="1" customWidth="1"/>
    <col min="10" max="10" width="5.85546875" style="2" hidden="1" customWidth="1"/>
    <col min="11" max="11" width="0.7109375" style="6" hidden="1" customWidth="1"/>
    <col min="12" max="12" width="21" style="3" hidden="1" customWidth="1"/>
    <col min="13" max="13" width="6.5703125" style="1" hidden="1" customWidth="1"/>
    <col min="14" max="14" width="6.5703125" style="4" hidden="1" customWidth="1"/>
    <col min="15" max="15" width="6.5703125" style="5" hidden="1" customWidth="1"/>
    <col min="16" max="16" width="6.5703125" style="6" hidden="1" customWidth="1"/>
    <col min="17" max="17" width="6.5703125" style="2" hidden="1" customWidth="1"/>
    <col min="18" max="18" width="6.5703125" style="5" hidden="1" customWidth="1"/>
    <col min="19" max="19" width="6.5703125" style="5" customWidth="1"/>
    <col min="20" max="20" width="8.7109375" style="133" customWidth="1"/>
    <col min="21" max="22" width="9.140625" style="69"/>
    <col min="23" max="16384" width="9.140625" style="70"/>
  </cols>
  <sheetData>
    <row r="1" spans="1:22" s="8" customFormat="1" ht="12.75" hidden="1" customHeight="1">
      <c r="U1" s="9"/>
      <c r="V1" s="9"/>
    </row>
    <row r="2" spans="1:22" s="10" customFormat="1" ht="3" hidden="1" customHeight="1">
      <c r="E2" s="11" t="s">
        <v>45</v>
      </c>
      <c r="F2" s="11"/>
      <c r="G2" s="12"/>
      <c r="H2" s="12"/>
      <c r="I2" s="12"/>
      <c r="J2" s="12"/>
      <c r="K2" s="12"/>
      <c r="L2" s="12"/>
      <c r="M2" s="13" t="s">
        <v>50</v>
      </c>
      <c r="N2" s="14"/>
      <c r="O2" s="14"/>
      <c r="U2" s="15"/>
      <c r="V2" s="15"/>
    </row>
    <row r="3" spans="1:22" s="7" customFormat="1" hidden="1">
      <c r="U3" s="16"/>
      <c r="V3" s="16"/>
    </row>
    <row r="4" spans="1:22" s="7" customFormat="1" ht="14.25" hidden="1" customHeight="1">
      <c r="B4" s="332" t="s">
        <v>111</v>
      </c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U4" s="16"/>
      <c r="V4" s="16"/>
    </row>
    <row r="5" spans="1:22" s="7" customFormat="1" ht="12.75" hidden="1" customHeight="1">
      <c r="E5" s="333" t="s">
        <v>0</v>
      </c>
      <c r="F5" s="333"/>
      <c r="G5" s="333"/>
      <c r="H5" s="333"/>
      <c r="I5" s="333"/>
      <c r="J5" s="333"/>
      <c r="K5" s="333"/>
      <c r="L5" s="333"/>
      <c r="M5" s="333"/>
      <c r="N5" s="333"/>
      <c r="O5" s="326"/>
      <c r="P5" s="326"/>
      <c r="Q5" s="326"/>
      <c r="R5" s="326"/>
      <c r="U5" s="16"/>
      <c r="V5" s="16"/>
    </row>
    <row r="6" spans="1:22" s="7" customFormat="1" ht="31.5" customHeight="1">
      <c r="A6" s="334" t="s">
        <v>156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16"/>
      <c r="V6" s="16"/>
    </row>
    <row r="7" spans="1:22" s="7" customFormat="1" ht="25.5" customHeight="1">
      <c r="C7" s="372" t="s">
        <v>160</v>
      </c>
      <c r="D7" s="372"/>
      <c r="E7" s="372"/>
      <c r="F7" s="372"/>
      <c r="G7" s="372"/>
      <c r="H7" s="372"/>
      <c r="I7" s="372"/>
      <c r="J7" s="372"/>
      <c r="K7" s="372"/>
      <c r="L7" s="372"/>
      <c r="M7" s="372"/>
      <c r="N7" s="372"/>
      <c r="O7" s="372"/>
      <c r="P7" s="372"/>
      <c r="Q7" s="372"/>
      <c r="R7" s="372"/>
      <c r="S7" s="372"/>
      <c r="U7" s="16"/>
      <c r="V7" s="16"/>
    </row>
    <row r="8" spans="1:22" s="7" customFormat="1" ht="12.75" hidden="1" customHeight="1">
      <c r="C8" s="17"/>
      <c r="D8" s="17"/>
      <c r="E8" s="259"/>
      <c r="R8" s="18"/>
      <c r="U8" s="16"/>
      <c r="V8" s="16"/>
    </row>
    <row r="9" spans="1:22" s="7" customFormat="1" ht="2.25" hidden="1" customHeight="1">
      <c r="A9" s="335" t="s">
        <v>1</v>
      </c>
      <c r="B9" s="335"/>
      <c r="O9" s="19" t="s">
        <v>4</v>
      </c>
      <c r="P9" s="336" t="e">
        <f>#REF!</f>
        <v>#REF!</v>
      </c>
      <c r="Q9" s="337"/>
      <c r="R9" s="337"/>
      <c r="S9" s="20" t="s">
        <v>7</v>
      </c>
      <c r="U9" s="16"/>
      <c r="V9" s="16"/>
    </row>
    <row r="10" spans="1:22" s="7" customFormat="1" ht="15.75" hidden="1">
      <c r="A10" s="270"/>
      <c r="B10" s="270"/>
      <c r="C10" s="21"/>
      <c r="D10" s="21"/>
      <c r="E10" s="338"/>
      <c r="F10" s="338"/>
      <c r="G10" s="338"/>
      <c r="N10" s="22"/>
      <c r="P10" s="23"/>
      <c r="Q10" s="24"/>
      <c r="R10" s="24"/>
      <c r="T10" s="20"/>
      <c r="U10" s="16"/>
      <c r="V10" s="16"/>
    </row>
    <row r="11" spans="1:22" s="7" customFormat="1" ht="14.25" hidden="1">
      <c r="A11" s="270" t="s">
        <v>2</v>
      </c>
      <c r="B11" s="270"/>
      <c r="C11" s="270"/>
      <c r="D11" s="341">
        <v>205880</v>
      </c>
      <c r="E11" s="337"/>
      <c r="F11" s="337"/>
      <c r="G11" s="269" t="s">
        <v>3</v>
      </c>
      <c r="J11" s="269"/>
      <c r="K11" s="269"/>
      <c r="L11" s="269"/>
      <c r="M11" s="25" t="s">
        <v>48</v>
      </c>
      <c r="N11" s="342">
        <f>1.02*1.05*1.0657</f>
        <v>1.1413647000000002</v>
      </c>
      <c r="O11" s="343"/>
      <c r="P11" s="343"/>
      <c r="R11" s="18"/>
      <c r="U11" s="16"/>
      <c r="V11" s="16"/>
    </row>
    <row r="12" spans="1:22" s="7" customFormat="1" hidden="1">
      <c r="A12" s="270"/>
      <c r="B12" s="270"/>
      <c r="C12" s="270"/>
      <c r="D12" s="270"/>
      <c r="E12" s="26"/>
      <c r="F12" s="26"/>
      <c r="G12" s="269"/>
      <c r="J12" s="269"/>
      <c r="K12" s="269"/>
      <c r="L12" s="269"/>
      <c r="R12" s="18"/>
      <c r="U12" s="16"/>
      <c r="V12" s="16"/>
    </row>
    <row r="13" spans="1:22" s="7" customFormat="1" hidden="1">
      <c r="A13" s="270" t="s">
        <v>21</v>
      </c>
      <c r="B13" s="153"/>
      <c r="C13" s="153"/>
      <c r="D13" s="153"/>
      <c r="E13" s="153"/>
      <c r="F13" s="270"/>
      <c r="G13" s="19" t="s">
        <v>22</v>
      </c>
      <c r="H13" s="270"/>
      <c r="I13" s="27"/>
      <c r="J13" s="344">
        <v>1901.89</v>
      </c>
      <c r="K13" s="345"/>
      <c r="L13" s="345"/>
      <c r="M13" s="28"/>
      <c r="N13" s="19"/>
      <c r="O13" s="19"/>
      <c r="P13" s="19" t="s">
        <v>23</v>
      </c>
      <c r="Q13" s="344">
        <v>2593.21</v>
      </c>
      <c r="R13" s="345"/>
      <c r="S13" s="345"/>
      <c r="T13" s="27"/>
      <c r="U13" s="16"/>
      <c r="V13" s="16"/>
    </row>
    <row r="14" spans="1:22" s="8" customFormat="1" ht="13.5" thickBot="1">
      <c r="E14" s="279">
        <f>1.133*1.11*1.012*1.0064*1.0015*1.015</f>
        <v>1.3020301026277405</v>
      </c>
      <c r="R14" s="29"/>
      <c r="U14" s="9"/>
      <c r="V14" s="9"/>
    </row>
    <row r="15" spans="1:22" s="30" customFormat="1" ht="18" customHeight="1" thickTop="1">
      <c r="A15" s="346" t="s">
        <v>16</v>
      </c>
      <c r="B15" s="349" t="s">
        <v>5</v>
      </c>
      <c r="C15" s="352" t="s">
        <v>6</v>
      </c>
      <c r="D15" s="320" t="s">
        <v>8</v>
      </c>
      <c r="E15" s="320" t="s">
        <v>9</v>
      </c>
      <c r="F15" s="307" t="s">
        <v>17</v>
      </c>
      <c r="G15" s="308"/>
      <c r="H15" s="308"/>
      <c r="I15" s="307" t="s">
        <v>19</v>
      </c>
      <c r="J15" s="308"/>
      <c r="K15" s="309"/>
      <c r="L15" s="316" t="s">
        <v>11</v>
      </c>
      <c r="M15" s="317"/>
      <c r="N15" s="317"/>
      <c r="O15" s="317"/>
      <c r="P15" s="317"/>
      <c r="Q15" s="317"/>
      <c r="R15" s="307" t="s">
        <v>18</v>
      </c>
      <c r="S15" s="320" t="s">
        <v>12</v>
      </c>
      <c r="T15" s="323" t="s">
        <v>13</v>
      </c>
      <c r="U15" s="323" t="s">
        <v>161</v>
      </c>
    </row>
    <row r="16" spans="1:22" s="30" customFormat="1" ht="22.5" customHeight="1">
      <c r="A16" s="347"/>
      <c r="B16" s="350"/>
      <c r="C16" s="353"/>
      <c r="D16" s="355"/>
      <c r="E16" s="355"/>
      <c r="F16" s="310"/>
      <c r="G16" s="311"/>
      <c r="H16" s="311"/>
      <c r="I16" s="310"/>
      <c r="J16" s="311"/>
      <c r="K16" s="312"/>
      <c r="L16" s="326" t="s">
        <v>10</v>
      </c>
      <c r="M16" s="329" t="s">
        <v>8</v>
      </c>
      <c r="N16" s="331" t="s">
        <v>20</v>
      </c>
      <c r="O16" s="331" t="s">
        <v>14</v>
      </c>
      <c r="P16" s="331" t="s">
        <v>15</v>
      </c>
      <c r="Q16" s="331" t="s">
        <v>49</v>
      </c>
      <c r="R16" s="318"/>
      <c r="S16" s="321"/>
      <c r="T16" s="324"/>
      <c r="U16" s="324"/>
    </row>
    <row r="17" spans="1:24" s="30" customFormat="1" ht="22.5" customHeight="1">
      <c r="A17" s="347"/>
      <c r="B17" s="350"/>
      <c r="C17" s="353"/>
      <c r="D17" s="355"/>
      <c r="E17" s="355"/>
      <c r="F17" s="310"/>
      <c r="G17" s="311"/>
      <c r="H17" s="311"/>
      <c r="I17" s="310"/>
      <c r="J17" s="311"/>
      <c r="K17" s="312"/>
      <c r="L17" s="327"/>
      <c r="M17" s="330"/>
      <c r="N17" s="321"/>
      <c r="O17" s="321"/>
      <c r="P17" s="339"/>
      <c r="Q17" s="357"/>
      <c r="R17" s="318"/>
      <c r="S17" s="321"/>
      <c r="T17" s="324"/>
      <c r="U17" s="324"/>
    </row>
    <row r="18" spans="1:24" s="30" customFormat="1" ht="22.5" customHeight="1">
      <c r="A18" s="347"/>
      <c r="B18" s="350"/>
      <c r="C18" s="353"/>
      <c r="D18" s="355"/>
      <c r="E18" s="355"/>
      <c r="F18" s="310"/>
      <c r="G18" s="311"/>
      <c r="H18" s="311"/>
      <c r="I18" s="310"/>
      <c r="J18" s="311"/>
      <c r="K18" s="312"/>
      <c r="L18" s="327"/>
      <c r="M18" s="330"/>
      <c r="N18" s="321"/>
      <c r="O18" s="321"/>
      <c r="P18" s="339"/>
      <c r="Q18" s="357"/>
      <c r="R18" s="318"/>
      <c r="S18" s="321"/>
      <c r="T18" s="324"/>
      <c r="U18" s="324"/>
    </row>
    <row r="19" spans="1:24" s="30" customFormat="1" ht="22.5" customHeight="1">
      <c r="A19" s="348"/>
      <c r="B19" s="351"/>
      <c r="C19" s="354"/>
      <c r="D19" s="356"/>
      <c r="E19" s="356"/>
      <c r="F19" s="313"/>
      <c r="G19" s="314"/>
      <c r="H19" s="314"/>
      <c r="I19" s="313"/>
      <c r="J19" s="314"/>
      <c r="K19" s="315"/>
      <c r="L19" s="328"/>
      <c r="M19" s="330"/>
      <c r="N19" s="322"/>
      <c r="O19" s="322"/>
      <c r="P19" s="340"/>
      <c r="Q19" s="358"/>
      <c r="R19" s="319"/>
      <c r="S19" s="322"/>
      <c r="T19" s="325"/>
      <c r="U19" s="325"/>
    </row>
    <row r="20" spans="1:24" s="69" customFormat="1" ht="15.75" customHeight="1">
      <c r="A20" s="134"/>
      <c r="B20" s="305" t="s">
        <v>46</v>
      </c>
      <c r="C20" s="306"/>
      <c r="D20" s="306"/>
      <c r="E20" s="137"/>
      <c r="F20" s="135"/>
      <c r="G20" s="135"/>
      <c r="H20" s="135"/>
      <c r="I20" s="136"/>
      <c r="J20" s="135"/>
      <c r="K20" s="137"/>
      <c r="L20" s="139"/>
      <c r="M20" s="139"/>
      <c r="N20" s="139"/>
      <c r="O20" s="139"/>
      <c r="P20" s="139"/>
      <c r="Q20" s="139"/>
      <c r="R20" s="139"/>
      <c r="S20" s="135"/>
      <c r="T20" s="138"/>
      <c r="W20" s="70"/>
      <c r="X20" s="70"/>
    </row>
    <row r="21" spans="1:24" s="69" customFormat="1" ht="12.75" customHeight="1">
      <c r="A21" s="63">
        <v>1</v>
      </c>
      <c r="B21" s="274" t="s">
        <v>113</v>
      </c>
      <c r="C21" s="281" t="s">
        <v>117</v>
      </c>
      <c r="D21" s="32" t="s">
        <v>25</v>
      </c>
      <c r="E21" s="143">
        <f>540/100</f>
        <v>5.4</v>
      </c>
      <c r="F21" s="33"/>
      <c r="G21" s="34">
        <v>7.7</v>
      </c>
      <c r="H21" s="33"/>
      <c r="I21" s="35"/>
      <c r="J21" s="34">
        <v>1.7</v>
      </c>
      <c r="K21" s="36"/>
      <c r="L21" s="37"/>
      <c r="M21" s="38"/>
      <c r="N21" s="39"/>
      <c r="O21" s="105"/>
      <c r="P21" s="40"/>
      <c r="Q21" s="41"/>
      <c r="R21" s="42">
        <f>G22+J22</f>
        <v>19.05301</v>
      </c>
      <c r="S21" s="261">
        <f>(R21+R22)*U21</f>
        <v>0</v>
      </c>
      <c r="T21" s="263">
        <f>E21*S21</f>
        <v>0</v>
      </c>
      <c r="U21" s="277"/>
      <c r="W21" s="70"/>
      <c r="X21" s="70"/>
    </row>
    <row r="22" spans="1:24" s="69" customFormat="1" ht="11.25" customHeight="1">
      <c r="A22" s="44"/>
      <c r="B22" s="275"/>
      <c r="C22" s="282"/>
      <c r="D22" s="45"/>
      <c r="E22" s="262"/>
      <c r="F22" s="6"/>
      <c r="G22" s="34">
        <f>G21*$J$13/1000</f>
        <v>14.644553000000002</v>
      </c>
      <c r="H22" s="6"/>
      <c r="I22" s="46"/>
      <c r="J22" s="34">
        <f>J21*$Q$13/1000</f>
        <v>4.4084570000000003</v>
      </c>
      <c r="K22" s="47"/>
      <c r="L22" s="3"/>
      <c r="M22" s="1"/>
      <c r="N22" s="4"/>
      <c r="O22" s="5"/>
      <c r="P22" s="6"/>
      <c r="Q22" s="48"/>
      <c r="R22" s="262"/>
      <c r="S22" s="262"/>
      <c r="T22" s="49"/>
      <c r="U22" s="49"/>
      <c r="W22" s="70"/>
      <c r="X22" s="70"/>
    </row>
    <row r="23" spans="1:24" s="69" customFormat="1" ht="12.75" hidden="1" customHeight="1">
      <c r="A23" s="44"/>
      <c r="B23" s="43"/>
      <c r="C23" s="282"/>
      <c r="D23" s="45"/>
      <c r="E23" s="262"/>
      <c r="F23" s="6"/>
      <c r="G23" s="2"/>
      <c r="H23" s="6"/>
      <c r="I23" s="46"/>
      <c r="J23" s="2"/>
      <c r="K23" s="47"/>
      <c r="L23" s="3"/>
      <c r="M23" s="1"/>
      <c r="N23" s="4"/>
      <c r="O23" s="5"/>
      <c r="P23" s="6"/>
      <c r="Q23" s="48"/>
      <c r="R23" s="262"/>
      <c r="S23" s="262"/>
      <c r="T23" s="49"/>
      <c r="U23" s="49"/>
      <c r="W23" s="70"/>
      <c r="X23" s="70"/>
    </row>
    <row r="24" spans="1:24" s="69" customFormat="1" ht="12.75" customHeight="1">
      <c r="A24" s="50"/>
      <c r="B24" s="51"/>
      <c r="C24" s="52"/>
      <c r="D24" s="53"/>
      <c r="E24" s="267"/>
      <c r="F24" s="54"/>
      <c r="G24" s="55"/>
      <c r="H24" s="54"/>
      <c r="I24" s="56"/>
      <c r="J24" s="55"/>
      <c r="K24" s="57"/>
      <c r="L24" s="58"/>
      <c r="M24" s="59"/>
      <c r="N24" s="60"/>
      <c r="O24" s="85"/>
      <c r="P24" s="54"/>
      <c r="Q24" s="61"/>
      <c r="R24" s="267"/>
      <c r="S24" s="267"/>
      <c r="T24" s="62"/>
      <c r="U24" s="62"/>
      <c r="W24" s="70"/>
      <c r="X24" s="70"/>
    </row>
    <row r="25" spans="1:24" ht="12.75" customHeight="1">
      <c r="A25" s="63">
        <f>A21+1</f>
        <v>2</v>
      </c>
      <c r="B25" s="274" t="s">
        <v>63</v>
      </c>
      <c r="C25" s="281" t="s">
        <v>64</v>
      </c>
      <c r="D25" s="32" t="s">
        <v>65</v>
      </c>
      <c r="E25" s="261">
        <f>106.4/100</f>
        <v>1.0640000000000001</v>
      </c>
      <c r="F25" s="33"/>
      <c r="G25" s="34">
        <f>15.9*0.5</f>
        <v>7.95</v>
      </c>
      <c r="H25" s="33"/>
      <c r="I25" s="35"/>
      <c r="J25" s="34">
        <f>0.41*0.5</f>
        <v>0.20499999999999999</v>
      </c>
      <c r="K25" s="36"/>
      <c r="L25" s="64"/>
      <c r="M25" s="65"/>
      <c r="N25" s="66"/>
      <c r="O25" s="67"/>
      <c r="P25" s="33"/>
      <c r="Q25" s="68"/>
      <c r="R25" s="42">
        <f>G26+J26</f>
        <v>15.651633550000001</v>
      </c>
      <c r="S25" s="283">
        <f>(R25+R26)*U25</f>
        <v>0</v>
      </c>
      <c r="T25" s="285">
        <f>E25*S25</f>
        <v>0</v>
      </c>
      <c r="U25" s="285"/>
      <c r="V25" s="70"/>
    </row>
    <row r="26" spans="1:24" ht="12" customHeight="1">
      <c r="A26" s="44"/>
      <c r="B26" s="275" t="s">
        <v>66</v>
      </c>
      <c r="C26" s="282"/>
      <c r="E26" s="262"/>
      <c r="G26" s="34">
        <f>G25*$J$13/1000</f>
        <v>15.120025500000002</v>
      </c>
      <c r="I26" s="46"/>
      <c r="J26" s="34">
        <f>J25*$Q$13/1000</f>
        <v>0.53160804999999989</v>
      </c>
      <c r="K26" s="47"/>
      <c r="L26" s="287"/>
      <c r="M26" s="71"/>
      <c r="N26" s="72"/>
      <c r="O26" s="72"/>
      <c r="P26" s="73"/>
      <c r="Q26" s="74"/>
      <c r="R26" s="283">
        <f>SUM(Q26:Q28)</f>
        <v>0</v>
      </c>
      <c r="S26" s="284"/>
      <c r="T26" s="286"/>
      <c r="U26" s="286"/>
      <c r="V26" s="70"/>
    </row>
    <row r="27" spans="1:24" ht="12.75" hidden="1" customHeight="1">
      <c r="A27" s="44"/>
      <c r="C27" s="282"/>
      <c r="E27" s="262"/>
      <c r="I27" s="46"/>
      <c r="K27" s="47"/>
      <c r="L27" s="301"/>
      <c r="M27" s="75"/>
      <c r="N27" s="76"/>
      <c r="O27" s="77"/>
      <c r="P27" s="78"/>
      <c r="Q27" s="79"/>
      <c r="R27" s="284"/>
      <c r="S27" s="284"/>
      <c r="T27" s="286"/>
      <c r="U27" s="286"/>
      <c r="V27" s="70"/>
    </row>
    <row r="28" spans="1:24" ht="12.75" hidden="1" customHeight="1">
      <c r="A28" s="44"/>
      <c r="C28" s="282"/>
      <c r="E28" s="262"/>
      <c r="I28" s="46"/>
      <c r="K28" s="47"/>
      <c r="L28" s="268"/>
      <c r="M28" s="106"/>
      <c r="N28" s="107"/>
      <c r="O28" s="107"/>
      <c r="P28" s="108"/>
      <c r="Q28" s="109"/>
      <c r="R28" s="284"/>
      <c r="S28" s="284"/>
      <c r="T28" s="286"/>
      <c r="U28" s="286"/>
      <c r="V28" s="70"/>
    </row>
    <row r="29" spans="1:24" ht="7.5" customHeight="1">
      <c r="A29" s="50"/>
      <c r="B29" s="51"/>
      <c r="C29" s="52"/>
      <c r="D29" s="53"/>
      <c r="E29" s="267"/>
      <c r="F29" s="54"/>
      <c r="G29" s="55"/>
      <c r="H29" s="54"/>
      <c r="I29" s="56"/>
      <c r="J29" s="55"/>
      <c r="K29" s="57"/>
      <c r="L29" s="58"/>
      <c r="M29" s="59"/>
      <c r="N29" s="60"/>
      <c r="O29" s="85"/>
      <c r="P29" s="54"/>
      <c r="Q29" s="61"/>
      <c r="R29" s="267"/>
      <c r="S29" s="267"/>
      <c r="T29" s="62"/>
      <c r="U29" s="62"/>
      <c r="V29" s="70"/>
    </row>
    <row r="30" spans="1:24" s="69" customFormat="1" ht="12.75" customHeight="1">
      <c r="A30" s="63">
        <f>A25+1</f>
        <v>3</v>
      </c>
      <c r="B30" s="274" t="s">
        <v>38</v>
      </c>
      <c r="C30" s="281" t="s">
        <v>67</v>
      </c>
      <c r="D30" s="32" t="s">
        <v>24</v>
      </c>
      <c r="E30" s="261">
        <v>9</v>
      </c>
      <c r="F30" s="33"/>
      <c r="G30" s="34">
        <f>12.6*0.8</f>
        <v>10.08</v>
      </c>
      <c r="H30" s="33"/>
      <c r="I30" s="35"/>
      <c r="J30" s="34">
        <f>2.1*0.8</f>
        <v>1.6800000000000002</v>
      </c>
      <c r="K30" s="36"/>
      <c r="L30" s="64"/>
      <c r="M30" s="65"/>
      <c r="N30" s="66"/>
      <c r="O30" s="67"/>
      <c r="P30" s="33"/>
      <c r="Q30" s="68"/>
      <c r="R30" s="42">
        <f>G31+J31</f>
        <v>23.527644000000002</v>
      </c>
      <c r="S30" s="283">
        <f>(R30+R31)*U30</f>
        <v>0</v>
      </c>
      <c r="T30" s="285">
        <f>E30*S30</f>
        <v>0</v>
      </c>
      <c r="U30" s="285"/>
      <c r="W30" s="70"/>
      <c r="X30" s="70"/>
    </row>
    <row r="31" spans="1:24" s="69" customFormat="1" ht="11.25" customHeight="1">
      <c r="A31" s="44"/>
      <c r="B31" s="275" t="s">
        <v>33</v>
      </c>
      <c r="C31" s="282"/>
      <c r="D31" s="45"/>
      <c r="E31" s="262"/>
      <c r="F31" s="6"/>
      <c r="G31" s="34">
        <f>G30*$J$13/1000</f>
        <v>19.171051200000001</v>
      </c>
      <c r="H31" s="6"/>
      <c r="I31" s="46"/>
      <c r="J31" s="34">
        <f>J30*$Q$13/1000</f>
        <v>4.3565928000000005</v>
      </c>
      <c r="K31" s="47"/>
      <c r="L31" s="265"/>
      <c r="M31" s="71"/>
      <c r="N31" s="72"/>
      <c r="O31" s="72"/>
      <c r="P31" s="73"/>
      <c r="Q31" s="74"/>
      <c r="R31" s="283"/>
      <c r="S31" s="284"/>
      <c r="T31" s="286"/>
      <c r="U31" s="286"/>
      <c r="W31" s="70"/>
      <c r="X31" s="70"/>
    </row>
    <row r="32" spans="1:24" s="69" customFormat="1" ht="12.75" hidden="1" customHeight="1">
      <c r="A32" s="44"/>
      <c r="B32" s="43"/>
      <c r="C32" s="282"/>
      <c r="D32" s="45"/>
      <c r="E32" s="262"/>
      <c r="F32" s="6"/>
      <c r="G32" s="2"/>
      <c r="H32" s="6"/>
      <c r="I32" s="46"/>
      <c r="J32" s="2"/>
      <c r="K32" s="47"/>
      <c r="L32" s="268"/>
      <c r="M32" s="106"/>
      <c r="N32" s="107"/>
      <c r="O32" s="107"/>
      <c r="P32" s="108"/>
      <c r="Q32" s="109"/>
      <c r="R32" s="284"/>
      <c r="S32" s="284"/>
      <c r="T32" s="286"/>
      <c r="U32" s="286"/>
      <c r="W32" s="70"/>
      <c r="X32" s="70"/>
    </row>
    <row r="33" spans="1:24" s="69" customFormat="1" ht="15.75" customHeight="1">
      <c r="A33" s="44"/>
      <c r="B33" s="43" t="s">
        <v>112</v>
      </c>
      <c r="C33" s="282"/>
      <c r="D33" s="45"/>
      <c r="E33" s="262"/>
      <c r="F33" s="6"/>
      <c r="G33" s="2"/>
      <c r="H33" s="6"/>
      <c r="I33" s="46"/>
      <c r="J33" s="2"/>
      <c r="K33" s="47"/>
      <c r="L33" s="268"/>
      <c r="M33" s="106"/>
      <c r="N33" s="107"/>
      <c r="O33" s="107"/>
      <c r="P33" s="108"/>
      <c r="Q33" s="109"/>
      <c r="R33" s="284"/>
      <c r="S33" s="284"/>
      <c r="T33" s="286"/>
      <c r="U33" s="286"/>
      <c r="W33" s="70"/>
      <c r="X33" s="70"/>
    </row>
    <row r="34" spans="1:24" ht="12.75" customHeight="1">
      <c r="A34" s="63">
        <f>A30+1</f>
        <v>4</v>
      </c>
      <c r="B34" s="274" t="s">
        <v>109</v>
      </c>
      <c r="C34" s="281" t="s">
        <v>126</v>
      </c>
      <c r="D34" s="32" t="s">
        <v>65</v>
      </c>
      <c r="E34" s="261">
        <f>E109*N110/100</f>
        <v>1.04</v>
      </c>
      <c r="F34" s="33"/>
      <c r="G34" s="34">
        <v>5.0199999999999996</v>
      </c>
      <c r="H34" s="33"/>
      <c r="I34" s="35"/>
      <c r="J34" s="173">
        <v>0.12</v>
      </c>
      <c r="K34" s="36"/>
      <c r="L34" s="64"/>
      <c r="M34" s="65"/>
      <c r="N34" s="66"/>
      <c r="O34" s="67"/>
      <c r="P34" s="33"/>
      <c r="Q34" s="68"/>
      <c r="R34" s="42">
        <f>G35+J35</f>
        <v>9.8586729999999996</v>
      </c>
      <c r="S34" s="283">
        <f>(R34+R35)*U34</f>
        <v>0</v>
      </c>
      <c r="T34" s="285">
        <f>E34*S34</f>
        <v>0</v>
      </c>
      <c r="U34" s="285"/>
      <c r="V34" s="70"/>
    </row>
    <row r="35" spans="1:24" ht="12.75" customHeight="1">
      <c r="A35" s="44"/>
      <c r="C35" s="282"/>
      <c r="E35" s="262"/>
      <c r="G35" s="34">
        <f>G34*$J$13/1000</f>
        <v>9.547487799999999</v>
      </c>
      <c r="I35" s="46"/>
      <c r="J35" s="34">
        <f>J34*$Q$13/1000</f>
        <v>0.3111852</v>
      </c>
      <c r="K35" s="47"/>
      <c r="L35" s="265"/>
      <c r="M35" s="71"/>
      <c r="N35" s="72"/>
      <c r="O35" s="72"/>
      <c r="P35" s="73"/>
      <c r="Q35" s="74"/>
      <c r="R35" s="283"/>
      <c r="S35" s="284"/>
      <c r="T35" s="286"/>
      <c r="U35" s="286"/>
      <c r="V35" s="70"/>
    </row>
    <row r="36" spans="1:24" ht="12.75" hidden="1" customHeight="1">
      <c r="A36" s="44"/>
      <c r="C36" s="282"/>
      <c r="E36" s="262"/>
      <c r="I36" s="46"/>
      <c r="K36" s="47"/>
      <c r="L36" s="268"/>
      <c r="M36" s="106"/>
      <c r="N36" s="107"/>
      <c r="O36" s="107"/>
      <c r="P36" s="108"/>
      <c r="Q36" s="109"/>
      <c r="R36" s="284"/>
      <c r="S36" s="284"/>
      <c r="T36" s="286"/>
      <c r="U36" s="286"/>
      <c r="V36" s="70"/>
    </row>
    <row r="37" spans="1:24" ht="11.25" customHeight="1">
      <c r="A37" s="50"/>
      <c r="B37" s="51"/>
      <c r="C37" s="289"/>
      <c r="D37" s="53"/>
      <c r="E37" s="267"/>
      <c r="F37" s="54"/>
      <c r="G37" s="55"/>
      <c r="H37" s="54"/>
      <c r="I37" s="56"/>
      <c r="J37" s="55"/>
      <c r="K37" s="57"/>
      <c r="L37" s="147"/>
      <c r="M37" s="148"/>
      <c r="N37" s="149"/>
      <c r="O37" s="149"/>
      <c r="P37" s="150"/>
      <c r="Q37" s="151"/>
      <c r="R37" s="290"/>
      <c r="S37" s="290"/>
      <c r="T37" s="359"/>
      <c r="U37" s="359"/>
      <c r="V37" s="70"/>
    </row>
    <row r="38" spans="1:24" ht="12.75" customHeight="1">
      <c r="A38" s="63">
        <f>A34+1</f>
        <v>5</v>
      </c>
      <c r="B38" s="274" t="s">
        <v>110</v>
      </c>
      <c r="C38" s="281" t="s">
        <v>69</v>
      </c>
      <c r="D38" s="32" t="s">
        <v>59</v>
      </c>
      <c r="E38" s="261">
        <v>4</v>
      </c>
      <c r="F38" s="33"/>
      <c r="G38" s="34">
        <v>1.1599999999999999</v>
      </c>
      <c r="H38" s="33"/>
      <c r="I38" s="35"/>
      <c r="J38" s="174">
        <v>5.8200000000000002E-2</v>
      </c>
      <c r="K38" s="36"/>
      <c r="L38" s="64"/>
      <c r="M38" s="65"/>
      <c r="N38" s="66"/>
      <c r="O38" s="67"/>
      <c r="P38" s="33"/>
      <c r="Q38" s="68"/>
      <c r="R38" s="42">
        <f>G39+J39</f>
        <v>2.3571172219999998</v>
      </c>
      <c r="S38" s="283">
        <f>(R38+R39)*U38</f>
        <v>0</v>
      </c>
      <c r="T38" s="285">
        <f>E38*S38</f>
        <v>0</v>
      </c>
      <c r="U38" s="285"/>
      <c r="V38" s="70"/>
    </row>
    <row r="39" spans="1:24" ht="11.25" customHeight="1">
      <c r="A39" s="44"/>
      <c r="B39" s="275"/>
      <c r="C39" s="282"/>
      <c r="E39" s="262"/>
      <c r="G39" s="34">
        <f>G38*$J$13/1000</f>
        <v>2.2061923999999999</v>
      </c>
      <c r="I39" s="46"/>
      <c r="J39" s="34">
        <f>J38*$Q$13/1000</f>
        <v>0.15092482200000001</v>
      </c>
      <c r="K39" s="47"/>
      <c r="L39" s="287"/>
      <c r="M39" s="71"/>
      <c r="N39" s="72"/>
      <c r="O39" s="72"/>
      <c r="P39" s="73"/>
      <c r="Q39" s="74"/>
      <c r="R39" s="283">
        <f>SUM(Q39:Q40)</f>
        <v>0</v>
      </c>
      <c r="S39" s="284"/>
      <c r="T39" s="286"/>
      <c r="U39" s="286"/>
      <c r="V39" s="70"/>
    </row>
    <row r="40" spans="1:24" ht="12.75" hidden="1" customHeight="1">
      <c r="A40" s="44"/>
      <c r="C40" s="282"/>
      <c r="E40" s="262"/>
      <c r="I40" s="46"/>
      <c r="K40" s="47"/>
      <c r="L40" s="301"/>
      <c r="M40" s="75"/>
      <c r="N40" s="76"/>
      <c r="O40" s="77"/>
      <c r="P40" s="78"/>
      <c r="Q40" s="79"/>
      <c r="R40" s="284"/>
      <c r="S40" s="284"/>
      <c r="T40" s="286"/>
      <c r="U40" s="286"/>
      <c r="V40" s="70"/>
    </row>
    <row r="41" spans="1:24" ht="8.25" customHeight="1">
      <c r="A41" s="50"/>
      <c r="B41" s="51"/>
      <c r="C41" s="52"/>
      <c r="D41" s="53"/>
      <c r="E41" s="267"/>
      <c r="F41" s="54"/>
      <c r="G41" s="55"/>
      <c r="H41" s="54"/>
      <c r="I41" s="56"/>
      <c r="J41" s="55"/>
      <c r="K41" s="57"/>
      <c r="L41" s="58"/>
      <c r="M41" s="59"/>
      <c r="N41" s="60"/>
      <c r="O41" s="85"/>
      <c r="P41" s="54"/>
      <c r="Q41" s="61"/>
      <c r="R41" s="267"/>
      <c r="S41" s="267"/>
      <c r="T41" s="62"/>
      <c r="U41" s="62"/>
      <c r="V41" s="70"/>
    </row>
    <row r="42" spans="1:24" s="69" customFormat="1" ht="18" customHeight="1">
      <c r="A42" s="63">
        <f>A38+1</f>
        <v>6</v>
      </c>
      <c r="B42" s="303" t="s">
        <v>154</v>
      </c>
      <c r="C42" s="281" t="s">
        <v>129</v>
      </c>
      <c r="D42" s="32" t="s">
        <v>26</v>
      </c>
      <c r="E42" s="261">
        <v>6.8</v>
      </c>
      <c r="F42" s="33"/>
      <c r="G42" s="34">
        <v>0.36</v>
      </c>
      <c r="H42" s="33"/>
      <c r="I42" s="35"/>
      <c r="J42" s="34">
        <v>0.9</v>
      </c>
      <c r="K42" s="36"/>
      <c r="L42" s="37"/>
      <c r="M42" s="38"/>
      <c r="N42" s="39"/>
      <c r="O42" s="39"/>
      <c r="P42" s="40"/>
      <c r="Q42" s="41"/>
      <c r="R42" s="42">
        <f>G43+J43</f>
        <v>3.0185694000000001</v>
      </c>
      <c r="S42" s="261">
        <f>(R42+R43)*U42</f>
        <v>0</v>
      </c>
      <c r="T42" s="263">
        <f>E42*S42</f>
        <v>0</v>
      </c>
      <c r="U42" s="277"/>
      <c r="W42" s="70"/>
      <c r="X42" s="70"/>
    </row>
    <row r="43" spans="1:24" s="69" customFormat="1" ht="15" customHeight="1">
      <c r="A43" s="44"/>
      <c r="B43" s="304"/>
      <c r="C43" s="282"/>
      <c r="D43" s="144"/>
      <c r="E43" s="142"/>
      <c r="F43" s="6"/>
      <c r="G43" s="34">
        <f>G42*$J$13/1000</f>
        <v>0.68468039999999997</v>
      </c>
      <c r="H43" s="6"/>
      <c r="I43" s="46"/>
      <c r="J43" s="34">
        <f>J42*$Q$13/1000</f>
        <v>2.3338890000000001</v>
      </c>
      <c r="K43" s="47"/>
      <c r="L43" s="3"/>
      <c r="M43" s="1"/>
      <c r="N43" s="4"/>
      <c r="O43" s="4"/>
      <c r="P43" s="6"/>
      <c r="Q43" s="2"/>
      <c r="R43" s="261"/>
      <c r="S43" s="142"/>
      <c r="T43" s="49"/>
      <c r="U43" s="49"/>
      <c r="W43" s="70"/>
      <c r="X43" s="70"/>
    </row>
    <row r="44" spans="1:24" s="69" customFormat="1" ht="12" customHeight="1">
      <c r="A44" s="50"/>
      <c r="B44" s="51"/>
      <c r="C44" s="289"/>
      <c r="D44" s="145"/>
      <c r="E44" s="141"/>
      <c r="F44" s="54"/>
      <c r="G44" s="55"/>
      <c r="H44" s="54"/>
      <c r="I44" s="56"/>
      <c r="J44" s="55"/>
      <c r="K44" s="57"/>
      <c r="L44" s="58"/>
      <c r="M44" s="59"/>
      <c r="N44" s="60"/>
      <c r="O44" s="60"/>
      <c r="P44" s="54"/>
      <c r="Q44" s="55"/>
      <c r="R44" s="267"/>
      <c r="S44" s="85"/>
      <c r="T44" s="62"/>
      <c r="U44" s="62"/>
      <c r="W44" s="70"/>
      <c r="X44" s="70"/>
    </row>
    <row r="45" spans="1:24" s="69" customFormat="1" ht="18" customHeight="1">
      <c r="A45" s="63">
        <f>A42+1</f>
        <v>7</v>
      </c>
      <c r="B45" s="303" t="s">
        <v>155</v>
      </c>
      <c r="C45" s="281" t="s">
        <v>130</v>
      </c>
      <c r="D45" s="32" t="s">
        <v>26</v>
      </c>
      <c r="E45" s="261">
        <v>9.8000000000000007</v>
      </c>
      <c r="F45" s="33"/>
      <c r="G45" s="34">
        <f>0.81+0.36</f>
        <v>1.17</v>
      </c>
      <c r="H45" s="33"/>
      <c r="I45" s="35"/>
      <c r="J45" s="34">
        <v>0.9</v>
      </c>
      <c r="K45" s="36"/>
      <c r="L45" s="37"/>
      <c r="M45" s="38"/>
      <c r="N45" s="39"/>
      <c r="O45" s="39"/>
      <c r="P45" s="40"/>
      <c r="Q45" s="41"/>
      <c r="R45" s="42">
        <f>G46+J46</f>
        <v>4.5591002999999999</v>
      </c>
      <c r="S45" s="261">
        <f>(R45+R46)*U45</f>
        <v>0</v>
      </c>
      <c r="T45" s="263">
        <f>E45*S45</f>
        <v>0</v>
      </c>
      <c r="U45" s="277"/>
      <c r="W45" s="70"/>
      <c r="X45" s="70"/>
    </row>
    <row r="46" spans="1:24" s="69" customFormat="1" ht="14.25" customHeight="1">
      <c r="A46" s="44"/>
      <c r="B46" s="304"/>
      <c r="C46" s="282"/>
      <c r="D46" s="144"/>
      <c r="E46" s="142"/>
      <c r="F46" s="6"/>
      <c r="G46" s="34">
        <f>G45*$J$13/1000</f>
        <v>2.2252112999999998</v>
      </c>
      <c r="H46" s="6"/>
      <c r="I46" s="46"/>
      <c r="J46" s="34">
        <f>J45*$Q$13/1000</f>
        <v>2.3338890000000001</v>
      </c>
      <c r="K46" s="47"/>
      <c r="L46" s="3"/>
      <c r="M46" s="1"/>
      <c r="N46" s="4"/>
      <c r="O46" s="4"/>
      <c r="P46" s="6"/>
      <c r="Q46" s="2"/>
      <c r="R46" s="261"/>
      <c r="S46" s="142"/>
      <c r="T46" s="49"/>
      <c r="U46" s="49"/>
      <c r="W46" s="70"/>
      <c r="X46" s="70"/>
    </row>
    <row r="47" spans="1:24" s="69" customFormat="1" ht="9.75" customHeight="1">
      <c r="A47" s="50"/>
      <c r="B47" s="51"/>
      <c r="C47" s="289"/>
      <c r="D47" s="145"/>
      <c r="E47" s="141"/>
      <c r="F47" s="54"/>
      <c r="G47" s="55"/>
      <c r="H47" s="54"/>
      <c r="I47" s="56"/>
      <c r="J47" s="55"/>
      <c r="K47" s="57"/>
      <c r="L47" s="58"/>
      <c r="M47" s="59"/>
      <c r="N47" s="60"/>
      <c r="O47" s="60"/>
      <c r="P47" s="54"/>
      <c r="Q47" s="55"/>
      <c r="R47" s="267"/>
      <c r="S47" s="85"/>
      <c r="T47" s="62"/>
      <c r="U47" s="62"/>
      <c r="W47" s="70"/>
      <c r="X47" s="70"/>
    </row>
    <row r="48" spans="1:24" s="69" customFormat="1" ht="15" customHeight="1">
      <c r="A48" s="91"/>
      <c r="B48" s="92"/>
      <c r="C48" s="93" t="s">
        <v>27</v>
      </c>
      <c r="D48" s="94"/>
      <c r="E48" s="95"/>
      <c r="F48" s="96"/>
      <c r="G48" s="97"/>
      <c r="H48" s="96"/>
      <c r="I48" s="98"/>
      <c r="J48" s="97"/>
      <c r="K48" s="99"/>
      <c r="L48" s="100"/>
      <c r="M48" s="101"/>
      <c r="N48" s="102"/>
      <c r="O48" s="103"/>
      <c r="P48" s="96"/>
      <c r="Q48" s="97"/>
      <c r="R48" s="103"/>
      <c r="S48" s="103"/>
      <c r="T48" s="104">
        <f>SUM(T21:T47)</f>
        <v>0</v>
      </c>
      <c r="U48" s="373">
        <v>3.1199999999999999E-2</v>
      </c>
      <c r="W48" s="70"/>
      <c r="X48" s="70"/>
    </row>
    <row r="49" spans="1:24" s="69" customFormat="1" ht="19.5" customHeight="1">
      <c r="A49" s="110"/>
      <c r="B49" s="305" t="s">
        <v>70</v>
      </c>
      <c r="C49" s="306"/>
      <c r="D49" s="306"/>
      <c r="E49" s="111"/>
      <c r="F49" s="112"/>
      <c r="G49" s="112"/>
      <c r="H49" s="112"/>
      <c r="I49" s="113"/>
      <c r="J49" s="112"/>
      <c r="K49" s="111"/>
      <c r="L49" s="112"/>
      <c r="M49" s="112"/>
      <c r="N49" s="112"/>
      <c r="O49" s="112"/>
      <c r="P49" s="112"/>
      <c r="Q49" s="112"/>
      <c r="R49" s="112"/>
      <c r="S49" s="112"/>
      <c r="T49" s="114"/>
      <c r="U49" s="114"/>
      <c r="W49" s="70"/>
      <c r="X49" s="70"/>
    </row>
    <row r="50" spans="1:24" s="69" customFormat="1" ht="12.75" customHeight="1">
      <c r="A50" s="63">
        <v>1</v>
      </c>
      <c r="B50" s="274" t="s">
        <v>38</v>
      </c>
      <c r="C50" s="281" t="s">
        <v>71</v>
      </c>
      <c r="D50" s="32" t="s">
        <v>24</v>
      </c>
      <c r="E50" s="261">
        <v>3.6</v>
      </c>
      <c r="F50" s="33"/>
      <c r="G50" s="34">
        <v>12.6</v>
      </c>
      <c r="H50" s="33"/>
      <c r="I50" s="35"/>
      <c r="J50" s="34">
        <v>2.1</v>
      </c>
      <c r="K50" s="36"/>
      <c r="L50" s="64"/>
      <c r="M50" s="65"/>
      <c r="N50" s="66"/>
      <c r="O50" s="67"/>
      <c r="P50" s="33"/>
      <c r="Q50" s="68"/>
      <c r="R50" s="42">
        <f>G51+J51</f>
        <v>29.409555000000005</v>
      </c>
      <c r="S50" s="283">
        <f>(R50+R51)*U50</f>
        <v>0</v>
      </c>
      <c r="T50" s="285">
        <f>E50*S50</f>
        <v>0</v>
      </c>
      <c r="U50" s="285"/>
      <c r="W50" s="70"/>
      <c r="X50" s="70"/>
    </row>
    <row r="51" spans="1:24" s="69" customFormat="1" ht="12.75" customHeight="1">
      <c r="A51" s="44"/>
      <c r="B51" s="275" t="s">
        <v>33</v>
      </c>
      <c r="C51" s="282"/>
      <c r="D51" s="45"/>
      <c r="E51" s="262"/>
      <c r="F51" s="6"/>
      <c r="G51" s="34">
        <f>G50*$J$13/1000</f>
        <v>23.963814000000003</v>
      </c>
      <c r="H51" s="6"/>
      <c r="I51" s="46"/>
      <c r="J51" s="34">
        <f>J50*$Q$13/1000</f>
        <v>5.4457409999999999</v>
      </c>
      <c r="K51" s="47"/>
      <c r="L51" s="265" t="s">
        <v>39</v>
      </c>
      <c r="M51" s="71" t="s">
        <v>29</v>
      </c>
      <c r="N51" s="72">
        <v>4.38</v>
      </c>
      <c r="O51" s="72">
        <f>E50*N51</f>
        <v>15.768000000000001</v>
      </c>
      <c r="P51" s="73">
        <v>0.4</v>
      </c>
      <c r="Q51" s="74">
        <f>N51*P51*$N$11</f>
        <v>1.9996709544000004</v>
      </c>
      <c r="R51" s="283">
        <f>SUM(Q51:Q55)</f>
        <v>158.72679248548502</v>
      </c>
      <c r="S51" s="284"/>
      <c r="T51" s="286"/>
      <c r="U51" s="286"/>
      <c r="W51" s="70"/>
      <c r="X51" s="70"/>
    </row>
    <row r="52" spans="1:24" s="69" customFormat="1" ht="12.75" customHeight="1">
      <c r="A52" s="44"/>
      <c r="B52" s="43"/>
      <c r="C52" s="282"/>
      <c r="D52" s="45"/>
      <c r="E52" s="262"/>
      <c r="F52" s="6"/>
      <c r="G52" s="2"/>
      <c r="H52" s="6"/>
      <c r="I52" s="46"/>
      <c r="J52" s="2"/>
      <c r="K52" s="47"/>
      <c r="L52" s="268" t="s">
        <v>40</v>
      </c>
      <c r="M52" s="106" t="s">
        <v>29</v>
      </c>
      <c r="N52" s="107">
        <v>1.96</v>
      </c>
      <c r="O52" s="107">
        <f>E50*N52</f>
        <v>7.056</v>
      </c>
      <c r="P52" s="108">
        <v>1.1000000000000001</v>
      </c>
      <c r="Q52" s="109">
        <f>N52*P52*$N$11</f>
        <v>2.4607822932000007</v>
      </c>
      <c r="R52" s="284"/>
      <c r="S52" s="284"/>
      <c r="T52" s="286"/>
      <c r="U52" s="286"/>
      <c r="W52" s="70"/>
      <c r="X52" s="70"/>
    </row>
    <row r="53" spans="1:24" s="69" customFormat="1" ht="12.75" customHeight="1">
      <c r="A53" s="44"/>
      <c r="B53" s="43"/>
      <c r="C53" s="282"/>
      <c r="D53" s="45"/>
      <c r="E53" s="262"/>
      <c r="F53" s="6"/>
      <c r="G53" s="2"/>
      <c r="H53" s="6"/>
      <c r="I53" s="46"/>
      <c r="J53" s="2"/>
      <c r="K53" s="47"/>
      <c r="L53" s="268" t="s">
        <v>41</v>
      </c>
      <c r="M53" s="106" t="s">
        <v>29</v>
      </c>
      <c r="N53" s="107">
        <v>7.2</v>
      </c>
      <c r="O53" s="107">
        <f>E50*N53</f>
        <v>25.92</v>
      </c>
      <c r="P53" s="166">
        <v>0.436</v>
      </c>
      <c r="Q53" s="109">
        <f>N53*P53*$N$11</f>
        <v>3.5829720662400009</v>
      </c>
      <c r="R53" s="284"/>
      <c r="S53" s="284"/>
      <c r="T53" s="286"/>
      <c r="U53" s="286"/>
      <c r="W53" s="70"/>
      <c r="X53" s="70"/>
    </row>
    <row r="54" spans="1:24" s="69" customFormat="1" ht="12" customHeight="1">
      <c r="A54" s="44"/>
      <c r="B54" s="43"/>
      <c r="C54" s="282"/>
      <c r="D54" s="45"/>
      <c r="E54" s="262"/>
      <c r="F54" s="6"/>
      <c r="G54" s="2"/>
      <c r="H54" s="6"/>
      <c r="I54" s="46"/>
      <c r="J54" s="2"/>
      <c r="K54" s="47"/>
      <c r="L54" s="86" t="s">
        <v>119</v>
      </c>
      <c r="M54" s="87" t="s">
        <v>28</v>
      </c>
      <c r="N54" s="88">
        <v>3.38</v>
      </c>
      <c r="O54" s="88">
        <f>E50*N54</f>
        <v>12.167999999999999</v>
      </c>
      <c r="P54" s="166">
        <v>0.875</v>
      </c>
      <c r="Q54" s="90">
        <f>N54*P54*$N$11</f>
        <v>3.3755861002500005</v>
      </c>
      <c r="R54" s="284"/>
      <c r="S54" s="284"/>
      <c r="T54" s="286"/>
      <c r="U54" s="286"/>
      <c r="W54" s="70"/>
      <c r="X54" s="70"/>
    </row>
    <row r="55" spans="1:24" s="69" customFormat="1" ht="45" hidden="1" customHeight="1">
      <c r="A55" s="44"/>
      <c r="B55" s="43"/>
      <c r="C55" s="282"/>
      <c r="D55" s="45"/>
      <c r="E55" s="262"/>
      <c r="F55" s="6"/>
      <c r="G55" s="2"/>
      <c r="H55" s="6"/>
      <c r="I55" s="46"/>
      <c r="J55" s="2"/>
      <c r="K55" s="47"/>
      <c r="L55" s="86" t="s">
        <v>47</v>
      </c>
      <c r="M55" s="154" t="s">
        <v>24</v>
      </c>
      <c r="N55" s="155">
        <f>0.16+0.06+0.83</f>
        <v>1.05</v>
      </c>
      <c r="O55" s="155">
        <f>E50*N55</f>
        <v>3.7800000000000002</v>
      </c>
      <c r="P55" s="166">
        <v>122.917</v>
      </c>
      <c r="Q55" s="90">
        <f>N55*P55*$N$11</f>
        <v>147.30778107139503</v>
      </c>
      <c r="R55" s="262"/>
      <c r="S55" s="262"/>
      <c r="T55" s="264"/>
      <c r="U55" s="278"/>
      <c r="W55" s="70"/>
      <c r="X55" s="70"/>
    </row>
    <row r="56" spans="1:24" s="69" customFormat="1" ht="30" customHeight="1">
      <c r="A56" s="50"/>
      <c r="B56" s="51"/>
      <c r="C56" s="156" t="s">
        <v>72</v>
      </c>
      <c r="D56" s="53"/>
      <c r="E56" s="267"/>
      <c r="F56" s="54"/>
      <c r="G56" s="55"/>
      <c r="H56" s="54"/>
      <c r="I56" s="56"/>
      <c r="J56" s="55"/>
      <c r="K56" s="57"/>
      <c r="L56" s="58"/>
      <c r="M56" s="59"/>
      <c r="N56" s="60"/>
      <c r="O56" s="85"/>
      <c r="P56" s="54"/>
      <c r="Q56" s="61"/>
      <c r="R56" s="267"/>
      <c r="S56" s="267"/>
      <c r="T56" s="62"/>
      <c r="U56" s="62"/>
      <c r="W56" s="70"/>
      <c r="X56" s="70"/>
    </row>
    <row r="57" spans="1:24" s="69" customFormat="1" ht="11.25" customHeight="1">
      <c r="A57" s="63">
        <f>A50+1</f>
        <v>2</v>
      </c>
      <c r="B57" s="274" t="s">
        <v>38</v>
      </c>
      <c r="C57" s="281" t="s">
        <v>73</v>
      </c>
      <c r="D57" s="32" t="s">
        <v>24</v>
      </c>
      <c r="E57" s="162">
        <v>0.32400000000000001</v>
      </c>
      <c r="F57" s="33"/>
      <c r="G57" s="34">
        <v>12.6</v>
      </c>
      <c r="H57" s="33"/>
      <c r="I57" s="35"/>
      <c r="J57" s="34">
        <v>2.1</v>
      </c>
      <c r="K57" s="36"/>
      <c r="L57" s="64"/>
      <c r="M57" s="65"/>
      <c r="N57" s="66"/>
      <c r="O57" s="67"/>
      <c r="P57" s="33"/>
      <c r="Q57" s="68"/>
      <c r="R57" s="42">
        <f>G58+J58</f>
        <v>29.409555000000005</v>
      </c>
      <c r="S57" s="283">
        <f>(R57+R58)*U57</f>
        <v>0</v>
      </c>
      <c r="T57" s="285">
        <f>E57*S57</f>
        <v>0</v>
      </c>
      <c r="U57" s="285"/>
      <c r="W57" s="70"/>
      <c r="X57" s="70"/>
    </row>
    <row r="58" spans="1:24" s="69" customFormat="1" ht="12" customHeight="1">
      <c r="A58" s="44"/>
      <c r="B58" s="275" t="s">
        <v>33</v>
      </c>
      <c r="C58" s="282"/>
      <c r="D58" s="45"/>
      <c r="E58" s="262"/>
      <c r="F58" s="6"/>
      <c r="G58" s="34">
        <f>G57*$J$13/1000</f>
        <v>23.963814000000003</v>
      </c>
      <c r="H58" s="6"/>
      <c r="I58" s="46"/>
      <c r="J58" s="34">
        <f>J57*$Q$13/1000</f>
        <v>5.4457409999999999</v>
      </c>
      <c r="K58" s="47"/>
      <c r="L58" s="265" t="s">
        <v>39</v>
      </c>
      <c r="M58" s="71" t="s">
        <v>29</v>
      </c>
      <c r="N58" s="72">
        <v>4.38</v>
      </c>
      <c r="O58" s="72">
        <f>E57*N58</f>
        <v>1.4191199999999999</v>
      </c>
      <c r="P58" s="73">
        <v>0.4</v>
      </c>
      <c r="Q58" s="74">
        <f>N58*P58*$N$11</f>
        <v>1.9996709544000004</v>
      </c>
      <c r="R58" s="283">
        <f>SUM(Q58:Q62)</f>
        <v>158.72679248548502</v>
      </c>
      <c r="S58" s="284"/>
      <c r="T58" s="286"/>
      <c r="U58" s="286"/>
      <c r="W58" s="70"/>
      <c r="X58" s="70"/>
    </row>
    <row r="59" spans="1:24" s="69" customFormat="1" ht="12.75" hidden="1" customHeight="1">
      <c r="A59" s="44"/>
      <c r="B59" s="43"/>
      <c r="C59" s="282"/>
      <c r="D59" s="45"/>
      <c r="E59" s="262"/>
      <c r="F59" s="6"/>
      <c r="G59" s="2"/>
      <c r="H59" s="6"/>
      <c r="I59" s="46"/>
      <c r="J59" s="2"/>
      <c r="K59" s="47"/>
      <c r="L59" s="268" t="s">
        <v>40</v>
      </c>
      <c r="M59" s="106" t="s">
        <v>29</v>
      </c>
      <c r="N59" s="107">
        <v>1.96</v>
      </c>
      <c r="O59" s="107">
        <f>E57*N59</f>
        <v>0.63504000000000005</v>
      </c>
      <c r="P59" s="108">
        <v>1.1000000000000001</v>
      </c>
      <c r="Q59" s="109">
        <f>N59*P59*$N$11</f>
        <v>2.4607822932000007</v>
      </c>
      <c r="R59" s="284"/>
      <c r="S59" s="284"/>
      <c r="T59" s="286"/>
      <c r="U59" s="286"/>
      <c r="W59" s="70"/>
      <c r="X59" s="70"/>
    </row>
    <row r="60" spans="1:24" s="69" customFormat="1" ht="12.75" hidden="1" customHeight="1">
      <c r="A60" s="44"/>
      <c r="B60" s="43"/>
      <c r="C60" s="282"/>
      <c r="D60" s="45"/>
      <c r="E60" s="262"/>
      <c r="F60" s="6"/>
      <c r="G60" s="2"/>
      <c r="H60" s="6"/>
      <c r="I60" s="46"/>
      <c r="J60" s="2"/>
      <c r="K60" s="47"/>
      <c r="L60" s="268" t="s">
        <v>41</v>
      </c>
      <c r="M60" s="106" t="s">
        <v>29</v>
      </c>
      <c r="N60" s="107">
        <v>7.2</v>
      </c>
      <c r="O60" s="107">
        <f>E57*N60</f>
        <v>2.3328000000000002</v>
      </c>
      <c r="P60" s="166">
        <v>0.436</v>
      </c>
      <c r="Q60" s="109">
        <f>N60*P60*$N$11</f>
        <v>3.5829720662400009</v>
      </c>
      <c r="R60" s="284"/>
      <c r="S60" s="284"/>
      <c r="T60" s="286"/>
      <c r="U60" s="286"/>
      <c r="W60" s="70"/>
      <c r="X60" s="70"/>
    </row>
    <row r="61" spans="1:24" s="69" customFormat="1" ht="12.75" hidden="1" customHeight="1">
      <c r="A61" s="44"/>
      <c r="B61" s="43"/>
      <c r="C61" s="282"/>
      <c r="D61" s="45"/>
      <c r="E61" s="262"/>
      <c r="F61" s="6"/>
      <c r="G61" s="2"/>
      <c r="H61" s="6"/>
      <c r="I61" s="46"/>
      <c r="J61" s="2"/>
      <c r="K61" s="47"/>
      <c r="L61" s="86" t="s">
        <v>34</v>
      </c>
      <c r="M61" s="87" t="s">
        <v>28</v>
      </c>
      <c r="N61" s="88">
        <v>3.38</v>
      </c>
      <c r="O61" s="88">
        <f>E57*N61</f>
        <v>1.0951200000000001</v>
      </c>
      <c r="P61" s="166">
        <v>0.875</v>
      </c>
      <c r="Q61" s="90">
        <f>N61*P61*$N$11</f>
        <v>3.3755861002500005</v>
      </c>
      <c r="R61" s="284"/>
      <c r="S61" s="284"/>
      <c r="T61" s="286"/>
      <c r="U61" s="286"/>
      <c r="W61" s="70"/>
      <c r="X61" s="70"/>
    </row>
    <row r="62" spans="1:24" s="69" customFormat="1" ht="12.75" hidden="1" customHeight="1">
      <c r="A62" s="44"/>
      <c r="B62" s="43"/>
      <c r="C62" s="260"/>
      <c r="D62" s="45"/>
      <c r="E62" s="262"/>
      <c r="F62" s="6"/>
      <c r="G62" s="2"/>
      <c r="H62" s="6"/>
      <c r="I62" s="46"/>
      <c r="J62" s="2"/>
      <c r="K62" s="47"/>
      <c r="L62" s="86" t="s">
        <v>47</v>
      </c>
      <c r="M62" s="87" t="s">
        <v>24</v>
      </c>
      <c r="N62" s="88">
        <f>0.16+0.06+0.83</f>
        <v>1.05</v>
      </c>
      <c r="O62" s="88">
        <f>E57*N62</f>
        <v>0.3402</v>
      </c>
      <c r="P62" s="89">
        <v>122.917</v>
      </c>
      <c r="Q62" s="90">
        <f>N62*P62*$N$11</f>
        <v>147.30778107139503</v>
      </c>
      <c r="R62" s="262"/>
      <c r="S62" s="262"/>
      <c r="T62" s="264"/>
      <c r="U62" s="278"/>
      <c r="W62" s="70"/>
      <c r="X62" s="70"/>
    </row>
    <row r="63" spans="1:24" s="69" customFormat="1" ht="12" customHeight="1">
      <c r="A63" s="50"/>
      <c r="B63" s="51"/>
      <c r="C63" s="52"/>
      <c r="D63" s="53"/>
      <c r="E63" s="267"/>
      <c r="F63" s="54"/>
      <c r="G63" s="55"/>
      <c r="H63" s="54"/>
      <c r="I63" s="56"/>
      <c r="J63" s="55"/>
      <c r="K63" s="57"/>
      <c r="L63" s="58"/>
      <c r="M63" s="59"/>
      <c r="N63" s="60"/>
      <c r="O63" s="85"/>
      <c r="P63" s="54"/>
      <c r="Q63" s="61"/>
      <c r="R63" s="267"/>
      <c r="S63" s="267"/>
      <c r="T63" s="62"/>
      <c r="U63" s="62"/>
      <c r="W63" s="70"/>
      <c r="X63" s="70"/>
    </row>
    <row r="64" spans="1:24" s="69" customFormat="1" ht="16.5" customHeight="1">
      <c r="A64" s="63">
        <f>A57+1</f>
        <v>3</v>
      </c>
      <c r="B64" s="274" t="s">
        <v>38</v>
      </c>
      <c r="C64" s="281" t="s">
        <v>74</v>
      </c>
      <c r="D64" s="32" t="s">
        <v>24</v>
      </c>
      <c r="E64" s="261">
        <v>2.7</v>
      </c>
      <c r="F64" s="33"/>
      <c r="G64" s="34">
        <v>12.6</v>
      </c>
      <c r="H64" s="33"/>
      <c r="I64" s="35"/>
      <c r="J64" s="34">
        <v>2.1</v>
      </c>
      <c r="K64" s="36"/>
      <c r="L64" s="64"/>
      <c r="M64" s="65"/>
      <c r="N64" s="66"/>
      <c r="O64" s="67"/>
      <c r="P64" s="33"/>
      <c r="Q64" s="68"/>
      <c r="R64" s="42">
        <f>G65+J65</f>
        <v>29.409555000000005</v>
      </c>
      <c r="S64" s="283">
        <f>(R64+R65)*U64</f>
        <v>0</v>
      </c>
      <c r="T64" s="285">
        <f>E64*S64</f>
        <v>0</v>
      </c>
      <c r="U64" s="285"/>
      <c r="W64" s="70"/>
      <c r="X64" s="70"/>
    </row>
    <row r="65" spans="1:24" s="69" customFormat="1" ht="12" customHeight="1">
      <c r="A65" s="44"/>
      <c r="B65" s="275" t="s">
        <v>33</v>
      </c>
      <c r="C65" s="282"/>
      <c r="D65" s="45"/>
      <c r="E65" s="262"/>
      <c r="F65" s="6"/>
      <c r="G65" s="34">
        <f>G64*$J$13/1000</f>
        <v>23.963814000000003</v>
      </c>
      <c r="H65" s="6"/>
      <c r="I65" s="46"/>
      <c r="J65" s="34">
        <f>J64*$Q$13/1000</f>
        <v>5.4457409999999999</v>
      </c>
      <c r="K65" s="47"/>
      <c r="L65" s="265" t="s">
        <v>39</v>
      </c>
      <c r="M65" s="71" t="s">
        <v>29</v>
      </c>
      <c r="N65" s="72">
        <v>4.38</v>
      </c>
      <c r="O65" s="72">
        <f>E64*N65</f>
        <v>11.826000000000001</v>
      </c>
      <c r="P65" s="73">
        <v>0.4</v>
      </c>
      <c r="Q65" s="74">
        <f>N65*P65*$N$11</f>
        <v>1.9996709544000004</v>
      </c>
      <c r="R65" s="283">
        <f>SUM(Q65:Q69)</f>
        <v>158.72679248548502</v>
      </c>
      <c r="S65" s="284"/>
      <c r="T65" s="286"/>
      <c r="U65" s="286"/>
      <c r="W65" s="70"/>
      <c r="X65" s="70"/>
    </row>
    <row r="66" spans="1:24" s="69" customFormat="1" ht="12.75" hidden="1" customHeight="1">
      <c r="A66" s="44"/>
      <c r="B66" s="43"/>
      <c r="C66" s="282"/>
      <c r="D66" s="45"/>
      <c r="E66" s="262"/>
      <c r="F66" s="6"/>
      <c r="G66" s="2"/>
      <c r="H66" s="6"/>
      <c r="I66" s="46"/>
      <c r="J66" s="2"/>
      <c r="K66" s="47"/>
      <c r="L66" s="268" t="s">
        <v>40</v>
      </c>
      <c r="M66" s="106" t="s">
        <v>29</v>
      </c>
      <c r="N66" s="107">
        <v>1.96</v>
      </c>
      <c r="O66" s="107">
        <f>E64*N66</f>
        <v>5.2919999999999998</v>
      </c>
      <c r="P66" s="108">
        <v>1.1000000000000001</v>
      </c>
      <c r="Q66" s="109">
        <f>N66*P66*$N$11</f>
        <v>2.4607822932000007</v>
      </c>
      <c r="R66" s="284"/>
      <c r="S66" s="284"/>
      <c r="T66" s="286"/>
      <c r="U66" s="286"/>
      <c r="W66" s="70"/>
      <c r="X66" s="70"/>
    </row>
    <row r="67" spans="1:24" s="69" customFormat="1" ht="12.75" hidden="1" customHeight="1">
      <c r="A67" s="44"/>
      <c r="B67" s="43"/>
      <c r="C67" s="282"/>
      <c r="D67" s="45"/>
      <c r="E67" s="262"/>
      <c r="F67" s="6"/>
      <c r="G67" s="2"/>
      <c r="H67" s="6"/>
      <c r="I67" s="46"/>
      <c r="J67" s="2"/>
      <c r="K67" s="47"/>
      <c r="L67" s="268" t="s">
        <v>41</v>
      </c>
      <c r="M67" s="106" t="s">
        <v>29</v>
      </c>
      <c r="N67" s="107">
        <v>7.2</v>
      </c>
      <c r="O67" s="107">
        <f>E64*N67</f>
        <v>19.440000000000001</v>
      </c>
      <c r="P67" s="166">
        <v>0.436</v>
      </c>
      <c r="Q67" s="109">
        <f>N67*P67*$N$11</f>
        <v>3.5829720662400009</v>
      </c>
      <c r="R67" s="284"/>
      <c r="S67" s="284"/>
      <c r="T67" s="286"/>
      <c r="U67" s="286"/>
      <c r="W67" s="70"/>
      <c r="X67" s="70"/>
    </row>
    <row r="68" spans="1:24" s="69" customFormat="1" ht="12.75" hidden="1" customHeight="1">
      <c r="A68" s="44"/>
      <c r="B68" s="43"/>
      <c r="C68" s="282"/>
      <c r="D68" s="45"/>
      <c r="E68" s="262"/>
      <c r="F68" s="6"/>
      <c r="G68" s="2"/>
      <c r="H68" s="6"/>
      <c r="I68" s="46"/>
      <c r="J68" s="2"/>
      <c r="K68" s="47"/>
      <c r="L68" s="86" t="s">
        <v>34</v>
      </c>
      <c r="M68" s="87" t="s">
        <v>28</v>
      </c>
      <c r="N68" s="88">
        <v>3.38</v>
      </c>
      <c r="O68" s="88">
        <f>E64*N68</f>
        <v>9.1259999999999994</v>
      </c>
      <c r="P68" s="166">
        <v>0.875</v>
      </c>
      <c r="Q68" s="90">
        <f>N68*P68*$N$11</f>
        <v>3.3755861002500005</v>
      </c>
      <c r="R68" s="284"/>
      <c r="S68" s="284"/>
      <c r="T68" s="286"/>
      <c r="U68" s="286"/>
      <c r="W68" s="70"/>
      <c r="X68" s="70"/>
    </row>
    <row r="69" spans="1:24" s="69" customFormat="1" ht="12.75" hidden="1" customHeight="1">
      <c r="A69" s="44"/>
      <c r="B69" s="43"/>
      <c r="C69" s="260"/>
      <c r="D69" s="45"/>
      <c r="E69" s="262"/>
      <c r="F69" s="6"/>
      <c r="G69" s="2"/>
      <c r="H69" s="6"/>
      <c r="I69" s="46"/>
      <c r="J69" s="2"/>
      <c r="K69" s="47"/>
      <c r="L69" s="86" t="s">
        <v>47</v>
      </c>
      <c r="M69" s="87" t="s">
        <v>24</v>
      </c>
      <c r="N69" s="88">
        <f>0.16+0.06+0.83</f>
        <v>1.05</v>
      </c>
      <c r="O69" s="88">
        <f>E64*N69</f>
        <v>2.8350000000000004</v>
      </c>
      <c r="P69" s="89">
        <v>122.917</v>
      </c>
      <c r="Q69" s="90">
        <f>N69*P69*$N$11</f>
        <v>147.30778107139503</v>
      </c>
      <c r="R69" s="262"/>
      <c r="S69" s="262"/>
      <c r="T69" s="264"/>
      <c r="U69" s="278"/>
      <c r="W69" s="70"/>
      <c r="X69" s="70"/>
    </row>
    <row r="70" spans="1:24" s="69" customFormat="1" ht="14.25" customHeight="1">
      <c r="A70" s="50"/>
      <c r="B70" s="51"/>
      <c r="C70" s="52"/>
      <c r="D70" s="53"/>
      <c r="E70" s="267"/>
      <c r="F70" s="54"/>
      <c r="G70" s="55"/>
      <c r="H70" s="54"/>
      <c r="I70" s="56"/>
      <c r="J70" s="55"/>
      <c r="K70" s="57"/>
      <c r="L70" s="58"/>
      <c r="M70" s="59"/>
      <c r="N70" s="60"/>
      <c r="O70" s="85"/>
      <c r="P70" s="54"/>
      <c r="Q70" s="61"/>
      <c r="R70" s="267"/>
      <c r="S70" s="267"/>
      <c r="T70" s="62"/>
      <c r="U70" s="62"/>
      <c r="W70" s="70"/>
      <c r="X70" s="70"/>
    </row>
    <row r="71" spans="1:24" s="69" customFormat="1" ht="11.25" customHeight="1">
      <c r="A71" s="63">
        <f>A64+1</f>
        <v>4</v>
      </c>
      <c r="B71" s="274" t="s">
        <v>38</v>
      </c>
      <c r="C71" s="281" t="s">
        <v>75</v>
      </c>
      <c r="D71" s="32" t="s">
        <v>24</v>
      </c>
      <c r="E71" s="261">
        <v>2.95</v>
      </c>
      <c r="F71" s="33"/>
      <c r="G71" s="34">
        <v>12.6</v>
      </c>
      <c r="H71" s="33"/>
      <c r="I71" s="35"/>
      <c r="J71" s="34">
        <v>2.1</v>
      </c>
      <c r="K71" s="36"/>
      <c r="L71" s="64"/>
      <c r="M71" s="65"/>
      <c r="N71" s="66"/>
      <c r="O71" s="67"/>
      <c r="P71" s="33"/>
      <c r="Q71" s="68"/>
      <c r="R71" s="42">
        <f>G72+J72</f>
        <v>29.409555000000005</v>
      </c>
      <c r="S71" s="283">
        <f>(R71+R72)*U71</f>
        <v>0</v>
      </c>
      <c r="T71" s="285">
        <f>E71*S71</f>
        <v>0</v>
      </c>
      <c r="U71" s="285"/>
      <c r="W71" s="70"/>
      <c r="X71" s="70"/>
    </row>
    <row r="72" spans="1:24" s="69" customFormat="1" ht="12.75" customHeight="1">
      <c r="A72" s="44"/>
      <c r="B72" s="275" t="s">
        <v>33</v>
      </c>
      <c r="C72" s="282"/>
      <c r="D72" s="45"/>
      <c r="E72" s="262"/>
      <c r="F72" s="6"/>
      <c r="G72" s="34">
        <f>G71*$J$13/1000</f>
        <v>23.963814000000003</v>
      </c>
      <c r="H72" s="6"/>
      <c r="I72" s="46"/>
      <c r="J72" s="34">
        <f>J71*$Q$13/1000</f>
        <v>5.4457409999999999</v>
      </c>
      <c r="K72" s="47"/>
      <c r="L72" s="265" t="s">
        <v>39</v>
      </c>
      <c r="M72" s="71" t="s">
        <v>29</v>
      </c>
      <c r="N72" s="72">
        <v>4.38</v>
      </c>
      <c r="O72" s="72">
        <f>E71*N72</f>
        <v>12.921000000000001</v>
      </c>
      <c r="P72" s="73">
        <v>0.4</v>
      </c>
      <c r="Q72" s="74">
        <f>N72*P72*$N$11</f>
        <v>1.9996709544000004</v>
      </c>
      <c r="R72" s="283">
        <f>SUM(Q72:Q76)</f>
        <v>158.72679248548502</v>
      </c>
      <c r="S72" s="284"/>
      <c r="T72" s="286"/>
      <c r="U72" s="286"/>
      <c r="W72" s="70"/>
      <c r="X72" s="70"/>
    </row>
    <row r="73" spans="1:24" s="69" customFormat="1" ht="12.75" hidden="1" customHeight="1">
      <c r="A73" s="44"/>
      <c r="B73" s="43"/>
      <c r="C73" s="282"/>
      <c r="D73" s="45"/>
      <c r="E73" s="262"/>
      <c r="F73" s="6"/>
      <c r="G73" s="2"/>
      <c r="H73" s="6"/>
      <c r="I73" s="46"/>
      <c r="J73" s="2"/>
      <c r="K73" s="47"/>
      <c r="L73" s="268" t="s">
        <v>40</v>
      </c>
      <c r="M73" s="106" t="s">
        <v>29</v>
      </c>
      <c r="N73" s="107">
        <v>1.96</v>
      </c>
      <c r="O73" s="107">
        <f>E71*N73</f>
        <v>5.782</v>
      </c>
      <c r="P73" s="108">
        <v>1.1000000000000001</v>
      </c>
      <c r="Q73" s="109">
        <f>N73*P73*$N$11</f>
        <v>2.4607822932000007</v>
      </c>
      <c r="R73" s="284"/>
      <c r="S73" s="284"/>
      <c r="T73" s="286"/>
      <c r="U73" s="286"/>
      <c r="W73" s="70"/>
      <c r="X73" s="70"/>
    </row>
    <row r="74" spans="1:24" s="69" customFormat="1" ht="12.75" hidden="1" customHeight="1">
      <c r="A74" s="44"/>
      <c r="B74" s="43"/>
      <c r="C74" s="282"/>
      <c r="D74" s="45"/>
      <c r="E74" s="262"/>
      <c r="F74" s="6"/>
      <c r="G74" s="2"/>
      <c r="H74" s="6"/>
      <c r="I74" s="46"/>
      <c r="J74" s="2"/>
      <c r="K74" s="47"/>
      <c r="L74" s="268" t="s">
        <v>41</v>
      </c>
      <c r="M74" s="106" t="s">
        <v>29</v>
      </c>
      <c r="N74" s="107">
        <v>7.2</v>
      </c>
      <c r="O74" s="107">
        <f>E71*N74</f>
        <v>21.240000000000002</v>
      </c>
      <c r="P74" s="166">
        <v>0.436</v>
      </c>
      <c r="Q74" s="109">
        <f>N74*P74*$N$11</f>
        <v>3.5829720662400009</v>
      </c>
      <c r="R74" s="284"/>
      <c r="S74" s="284"/>
      <c r="T74" s="286"/>
      <c r="U74" s="286"/>
      <c r="W74" s="70"/>
      <c r="X74" s="70"/>
    </row>
    <row r="75" spans="1:24" s="69" customFormat="1" ht="12.75" hidden="1" customHeight="1">
      <c r="A75" s="44"/>
      <c r="B75" s="43"/>
      <c r="C75" s="282"/>
      <c r="D75" s="45"/>
      <c r="E75" s="262"/>
      <c r="F75" s="6"/>
      <c r="G75" s="2"/>
      <c r="H75" s="6"/>
      <c r="I75" s="46"/>
      <c r="J75" s="2"/>
      <c r="K75" s="47"/>
      <c r="L75" s="86" t="s">
        <v>34</v>
      </c>
      <c r="M75" s="87" t="s">
        <v>28</v>
      </c>
      <c r="N75" s="88">
        <v>3.38</v>
      </c>
      <c r="O75" s="88">
        <f>E71*N75</f>
        <v>9.9710000000000001</v>
      </c>
      <c r="P75" s="166">
        <v>0.875</v>
      </c>
      <c r="Q75" s="90">
        <f>N75*P75*$N$11</f>
        <v>3.3755861002500005</v>
      </c>
      <c r="R75" s="284"/>
      <c r="S75" s="284"/>
      <c r="T75" s="286"/>
      <c r="U75" s="286"/>
      <c r="W75" s="70"/>
      <c r="X75" s="70"/>
    </row>
    <row r="76" spans="1:24" s="69" customFormat="1" ht="12.75" hidden="1" customHeight="1">
      <c r="A76" s="44"/>
      <c r="B76" s="43"/>
      <c r="C76" s="260"/>
      <c r="D76" s="45"/>
      <c r="E76" s="262"/>
      <c r="F76" s="6"/>
      <c r="G76" s="2"/>
      <c r="H76" s="6"/>
      <c r="I76" s="46"/>
      <c r="J76" s="2"/>
      <c r="K76" s="47"/>
      <c r="L76" s="86" t="s">
        <v>47</v>
      </c>
      <c r="M76" s="87" t="s">
        <v>24</v>
      </c>
      <c r="N76" s="88">
        <f>0.16+0.06+0.83</f>
        <v>1.05</v>
      </c>
      <c r="O76" s="88">
        <f>E71*N76</f>
        <v>3.0975000000000001</v>
      </c>
      <c r="P76" s="166">
        <v>122.917</v>
      </c>
      <c r="Q76" s="90">
        <f>N76*P76*$N$11</f>
        <v>147.30778107139503</v>
      </c>
      <c r="R76" s="262"/>
      <c r="S76" s="262"/>
      <c r="T76" s="264"/>
      <c r="U76" s="278"/>
      <c r="W76" s="70"/>
      <c r="X76" s="70"/>
    </row>
    <row r="77" spans="1:24" s="69" customFormat="1" ht="13.5" customHeight="1">
      <c r="A77" s="50"/>
      <c r="B77" s="51"/>
      <c r="C77" s="52"/>
      <c r="D77" s="53"/>
      <c r="E77" s="267"/>
      <c r="F77" s="54"/>
      <c r="G77" s="55"/>
      <c r="H77" s="54"/>
      <c r="I77" s="56"/>
      <c r="J77" s="55"/>
      <c r="K77" s="57"/>
      <c r="L77" s="58"/>
      <c r="M77" s="59"/>
      <c r="N77" s="60"/>
      <c r="O77" s="85"/>
      <c r="P77" s="54"/>
      <c r="Q77" s="61"/>
      <c r="R77" s="267"/>
      <c r="S77" s="267"/>
      <c r="T77" s="62"/>
      <c r="U77" s="62"/>
      <c r="W77" s="70"/>
      <c r="X77" s="70"/>
    </row>
    <row r="78" spans="1:24" ht="12.75" customHeight="1">
      <c r="A78" s="31">
        <f>A71+1</f>
        <v>5</v>
      </c>
      <c r="B78" s="274" t="s">
        <v>76</v>
      </c>
      <c r="C78" s="281" t="s">
        <v>77</v>
      </c>
      <c r="D78" s="32" t="s">
        <v>59</v>
      </c>
      <c r="E78" s="261">
        <v>4</v>
      </c>
      <c r="F78" s="33"/>
      <c r="G78" s="34">
        <f>3.5</f>
        <v>3.5</v>
      </c>
      <c r="H78" s="33"/>
      <c r="I78" s="35"/>
      <c r="J78" s="34">
        <f>0.3</f>
        <v>0.3</v>
      </c>
      <c r="K78" s="36"/>
      <c r="L78" s="157"/>
      <c r="M78" s="38"/>
      <c r="N78" s="39"/>
      <c r="O78" s="105"/>
      <c r="P78" s="40"/>
      <c r="Q78" s="41"/>
      <c r="R78" s="42">
        <f>G79+J79</f>
        <v>7.4345780000000001</v>
      </c>
      <c r="S78" s="283">
        <f>(R78+R79)*U78</f>
        <v>0</v>
      </c>
      <c r="T78" s="285">
        <f>E78*S78</f>
        <v>0</v>
      </c>
      <c r="U78" s="285"/>
      <c r="V78" s="70"/>
    </row>
    <row r="79" spans="1:24" ht="13.5" customHeight="1">
      <c r="A79" s="44"/>
      <c r="B79" s="275" t="s">
        <v>78</v>
      </c>
      <c r="C79" s="282"/>
      <c r="E79" s="262"/>
      <c r="G79" s="34">
        <f>G78*$J$13/1000</f>
        <v>6.6566150000000004</v>
      </c>
      <c r="I79" s="46"/>
      <c r="J79" s="34">
        <f>J78*$Q$13/1000</f>
        <v>0.77796299999999996</v>
      </c>
      <c r="K79" s="47"/>
      <c r="L79" s="266" t="s">
        <v>47</v>
      </c>
      <c r="M79" s="158" t="s">
        <v>24</v>
      </c>
      <c r="N79" s="159">
        <f>0.06+0.1+0.06</f>
        <v>0.22</v>
      </c>
      <c r="O79" s="167">
        <f>E78*N79</f>
        <v>0.88</v>
      </c>
      <c r="P79" s="170">
        <v>122.917</v>
      </c>
      <c r="Q79" s="84">
        <f>N79*P79*$N$11</f>
        <v>30.864487462578008</v>
      </c>
      <c r="R79" s="262">
        <f>SUM(Q79:Q79)</f>
        <v>30.864487462578008</v>
      </c>
      <c r="S79" s="284"/>
      <c r="T79" s="286"/>
      <c r="U79" s="286"/>
      <c r="V79" s="70"/>
    </row>
    <row r="80" spans="1:24" ht="12" hidden="1" customHeight="1">
      <c r="A80" s="44"/>
      <c r="B80" s="275"/>
      <c r="C80" s="282"/>
      <c r="E80" s="262"/>
      <c r="I80" s="46"/>
      <c r="K80" s="47"/>
      <c r="L80" s="268" t="s">
        <v>79</v>
      </c>
      <c r="M80" s="160" t="s">
        <v>59</v>
      </c>
      <c r="N80" s="161">
        <v>1</v>
      </c>
      <c r="O80" s="161">
        <f>E78*N80</f>
        <v>4</v>
      </c>
      <c r="P80" s="108">
        <v>3.7</v>
      </c>
      <c r="Q80" s="109">
        <f>N80*P80*$N$11</f>
        <v>4.2230493900000008</v>
      </c>
      <c r="R80" s="262"/>
      <c r="S80" s="262"/>
      <c r="T80" s="264"/>
      <c r="U80" s="278"/>
      <c r="V80" s="70"/>
    </row>
    <row r="81" spans="1:24" ht="12.75" customHeight="1">
      <c r="A81" s="50"/>
      <c r="B81" s="51"/>
      <c r="C81" s="52"/>
      <c r="D81" s="53"/>
      <c r="E81" s="267"/>
      <c r="F81" s="54"/>
      <c r="G81" s="55"/>
      <c r="H81" s="54"/>
      <c r="I81" s="56"/>
      <c r="J81" s="55"/>
      <c r="K81" s="57"/>
      <c r="L81" s="58"/>
      <c r="M81" s="59"/>
      <c r="N81" s="60"/>
      <c r="O81" s="85"/>
      <c r="P81" s="54"/>
      <c r="Q81" s="61"/>
      <c r="R81" s="267"/>
      <c r="S81" s="267"/>
      <c r="T81" s="62"/>
      <c r="U81" s="62"/>
      <c r="V81" s="70"/>
    </row>
    <row r="82" spans="1:24" s="69" customFormat="1" ht="12.75" customHeight="1">
      <c r="A82" s="31">
        <f>A78+1</f>
        <v>6</v>
      </c>
      <c r="B82" s="275" t="s">
        <v>80</v>
      </c>
      <c r="C82" s="281" t="s">
        <v>81</v>
      </c>
      <c r="D82" s="45" t="s">
        <v>24</v>
      </c>
      <c r="E82" s="262">
        <f>E50+E57+E64</f>
        <v>6.6240000000000006</v>
      </c>
      <c r="F82" s="6"/>
      <c r="G82" s="2">
        <v>0.46</v>
      </c>
      <c r="H82" s="6"/>
      <c r="I82" s="46"/>
      <c r="J82" s="2">
        <v>0.13</v>
      </c>
      <c r="K82" s="47"/>
      <c r="L82" s="64"/>
      <c r="M82" s="65"/>
      <c r="N82" s="66"/>
      <c r="O82" s="67"/>
      <c r="P82" s="33"/>
      <c r="Q82" s="68"/>
      <c r="R82" s="42">
        <f>G83+J83</f>
        <v>1.2119867</v>
      </c>
      <c r="S82" s="283">
        <f>(R82+R83)*U82</f>
        <v>0</v>
      </c>
      <c r="T82" s="285">
        <f>E82*S82</f>
        <v>0</v>
      </c>
      <c r="U82" s="285"/>
      <c r="W82" s="70"/>
      <c r="X82" s="70"/>
    </row>
    <row r="83" spans="1:24" s="69" customFormat="1" ht="11.25" customHeight="1">
      <c r="A83" s="44"/>
      <c r="B83" s="275" t="s">
        <v>82</v>
      </c>
      <c r="C83" s="282"/>
      <c r="D83" s="45"/>
      <c r="E83" s="262"/>
      <c r="F83" s="6"/>
      <c r="G83" s="34">
        <f>G82*$J$13/1000</f>
        <v>0.87486940000000002</v>
      </c>
      <c r="H83" s="6"/>
      <c r="I83" s="46"/>
      <c r="J83" s="34">
        <f>J82*$Q$13/1000</f>
        <v>0.33711730000000001</v>
      </c>
      <c r="K83" s="47"/>
      <c r="L83" s="265" t="s">
        <v>83</v>
      </c>
      <c r="M83" s="71" t="s">
        <v>29</v>
      </c>
      <c r="N83" s="72">
        <v>1.79</v>
      </c>
      <c r="O83" s="72">
        <f>E82*N83</f>
        <v>11.856960000000001</v>
      </c>
      <c r="P83" s="73">
        <v>0.6</v>
      </c>
      <c r="Q83" s="74">
        <f>N83*P83*$N$11</f>
        <v>1.2258256878000002</v>
      </c>
      <c r="R83" s="283">
        <f>SUM(Q83:Q85)</f>
        <v>6.5473244650800009</v>
      </c>
      <c r="S83" s="284"/>
      <c r="T83" s="286"/>
      <c r="U83" s="286"/>
      <c r="W83" s="70"/>
      <c r="X83" s="70"/>
    </row>
    <row r="84" spans="1:24" s="69" customFormat="1" ht="12.75" hidden="1" customHeight="1">
      <c r="A84" s="44"/>
      <c r="B84" s="43"/>
      <c r="C84" s="282"/>
      <c r="D84" s="45"/>
      <c r="E84" s="262"/>
      <c r="F84" s="6"/>
      <c r="G84" s="2"/>
      <c r="H84" s="6"/>
      <c r="I84" s="46"/>
      <c r="J84" s="2"/>
      <c r="K84" s="47"/>
      <c r="L84" s="268" t="s">
        <v>84</v>
      </c>
      <c r="M84" s="106" t="s">
        <v>29</v>
      </c>
      <c r="N84" s="107">
        <v>1.07</v>
      </c>
      <c r="O84" s="107">
        <f>E82*N84</f>
        <v>7.0876800000000006</v>
      </c>
      <c r="P84" s="108">
        <v>0.32</v>
      </c>
      <c r="Q84" s="109">
        <f>N84*P84*$N$11</f>
        <v>0.39080327328000014</v>
      </c>
      <c r="R84" s="284"/>
      <c r="S84" s="284"/>
      <c r="T84" s="286"/>
      <c r="U84" s="286"/>
      <c r="W84" s="70"/>
      <c r="X84" s="70"/>
    </row>
    <row r="85" spans="1:24" s="69" customFormat="1" ht="12.75" hidden="1" customHeight="1">
      <c r="A85" s="44"/>
      <c r="B85" s="43"/>
      <c r="C85" s="282"/>
      <c r="D85" s="45"/>
      <c r="E85" s="262"/>
      <c r="F85" s="6"/>
      <c r="G85" s="2"/>
      <c r="H85" s="6"/>
      <c r="I85" s="46"/>
      <c r="J85" s="2"/>
      <c r="K85" s="47"/>
      <c r="L85" s="86" t="s">
        <v>85</v>
      </c>
      <c r="M85" s="87" t="s">
        <v>29</v>
      </c>
      <c r="N85" s="88">
        <v>7.2</v>
      </c>
      <c r="O85" s="88">
        <f>E82*N85</f>
        <v>47.692800000000005</v>
      </c>
      <c r="P85" s="89">
        <v>0.6</v>
      </c>
      <c r="Q85" s="90">
        <f>N85*P85*$N$11</f>
        <v>4.9306955040000009</v>
      </c>
      <c r="R85" s="284"/>
      <c r="S85" s="284"/>
      <c r="T85" s="286"/>
      <c r="U85" s="286"/>
      <c r="W85" s="70"/>
      <c r="X85" s="70"/>
    </row>
    <row r="86" spans="1:24" s="69" customFormat="1" ht="12.75" customHeight="1">
      <c r="A86" s="50"/>
      <c r="B86" s="51"/>
      <c r="C86" s="52"/>
      <c r="D86" s="53"/>
      <c r="E86" s="267"/>
      <c r="F86" s="54"/>
      <c r="G86" s="55"/>
      <c r="H86" s="54"/>
      <c r="I86" s="56"/>
      <c r="J86" s="55"/>
      <c r="K86" s="57"/>
      <c r="L86" s="3"/>
      <c r="M86" s="1"/>
      <c r="N86" s="4"/>
      <c r="O86" s="5"/>
      <c r="P86" s="6"/>
      <c r="Q86" s="48"/>
      <c r="R86" s="262"/>
      <c r="S86" s="262"/>
      <c r="T86" s="49"/>
      <c r="U86" s="49"/>
      <c r="W86" s="70"/>
      <c r="X86" s="70"/>
    </row>
    <row r="87" spans="1:24" s="69" customFormat="1" ht="12.75" customHeight="1">
      <c r="A87" s="31">
        <f>A82+1</f>
        <v>7</v>
      </c>
      <c r="B87" s="275" t="s">
        <v>120</v>
      </c>
      <c r="C87" s="281" t="s">
        <v>122</v>
      </c>
      <c r="D87" s="45" t="s">
        <v>25</v>
      </c>
      <c r="E87" s="262">
        <f>E92</f>
        <v>5.4</v>
      </c>
      <c r="F87" s="6"/>
      <c r="G87" s="2">
        <v>1.6</v>
      </c>
      <c r="H87" s="6"/>
      <c r="I87" s="46"/>
      <c r="J87" s="2">
        <v>0.4</v>
      </c>
      <c r="K87" s="47"/>
      <c r="L87" s="64"/>
      <c r="M87" s="65"/>
      <c r="N87" s="66"/>
      <c r="O87" s="67"/>
      <c r="P87" s="33"/>
      <c r="Q87" s="68"/>
      <c r="R87" s="42">
        <f>G88+J88</f>
        <v>4.0803080000000005</v>
      </c>
      <c r="S87" s="283">
        <f>(R87+R88)*U87</f>
        <v>0</v>
      </c>
      <c r="T87" s="285">
        <f>E87*S87</f>
        <v>0</v>
      </c>
      <c r="U87" s="285"/>
      <c r="W87" s="70"/>
      <c r="X87" s="70"/>
    </row>
    <row r="88" spans="1:24" s="69" customFormat="1" ht="12" customHeight="1">
      <c r="A88" s="44"/>
      <c r="B88" s="275" t="s">
        <v>121</v>
      </c>
      <c r="C88" s="282"/>
      <c r="D88" s="45"/>
      <c r="E88" s="262"/>
      <c r="F88" s="6"/>
      <c r="G88" s="34">
        <f>G87*$J$13/1000</f>
        <v>3.0430240000000004</v>
      </c>
      <c r="H88" s="6"/>
      <c r="I88" s="46"/>
      <c r="J88" s="34">
        <f>J87*$Q$13/1000</f>
        <v>1.0372840000000001</v>
      </c>
      <c r="K88" s="47"/>
      <c r="L88" s="265" t="s">
        <v>123</v>
      </c>
      <c r="M88" s="71" t="s">
        <v>29</v>
      </c>
      <c r="N88" s="72">
        <v>23.1</v>
      </c>
      <c r="O88" s="72">
        <f>E87*N88</f>
        <v>124.74000000000001</v>
      </c>
      <c r="P88" s="73">
        <v>0.6</v>
      </c>
      <c r="Q88" s="74">
        <f>N88*P88*$N$11</f>
        <v>15.819314742000005</v>
      </c>
      <c r="R88" s="283">
        <f>SUM(Q88:Q90)</f>
        <v>21.069592362000005</v>
      </c>
      <c r="S88" s="284"/>
      <c r="T88" s="286"/>
      <c r="U88" s="286"/>
      <c r="W88" s="70"/>
      <c r="X88" s="70"/>
    </row>
    <row r="89" spans="1:24" s="69" customFormat="1" ht="12.75" hidden="1" customHeight="1">
      <c r="A89" s="44"/>
      <c r="B89" s="43"/>
      <c r="C89" s="282"/>
      <c r="D89" s="45"/>
      <c r="E89" s="262"/>
      <c r="F89" s="6"/>
      <c r="G89" s="2"/>
      <c r="H89" s="6"/>
      <c r="I89" s="46"/>
      <c r="J89" s="2"/>
      <c r="K89" s="47"/>
      <c r="L89" s="265" t="s">
        <v>124</v>
      </c>
      <c r="M89" s="106" t="s">
        <v>29</v>
      </c>
      <c r="N89" s="107">
        <v>5.8</v>
      </c>
      <c r="O89" s="107">
        <f>E87*N89</f>
        <v>31.32</v>
      </c>
      <c r="P89" s="108">
        <v>0.6</v>
      </c>
      <c r="Q89" s="109">
        <f>N89*P89*$N$11</f>
        <v>3.9719491560000009</v>
      </c>
      <c r="R89" s="284"/>
      <c r="S89" s="284"/>
      <c r="T89" s="286"/>
      <c r="U89" s="286"/>
      <c r="W89" s="70"/>
      <c r="X89" s="70"/>
    </row>
    <row r="90" spans="1:24" s="69" customFormat="1" ht="12.75" hidden="1" customHeight="1">
      <c r="A90" s="44"/>
      <c r="B90" s="43"/>
      <c r="C90" s="282"/>
      <c r="D90" s="45"/>
      <c r="E90" s="262"/>
      <c r="F90" s="6"/>
      <c r="G90" s="2"/>
      <c r="H90" s="6"/>
      <c r="I90" s="46"/>
      <c r="J90" s="2"/>
      <c r="K90" s="47"/>
      <c r="L90" s="86" t="s">
        <v>125</v>
      </c>
      <c r="M90" s="87" t="s">
        <v>29</v>
      </c>
      <c r="N90" s="88">
        <v>3.5</v>
      </c>
      <c r="O90" s="88">
        <f>E87*N90</f>
        <v>18.900000000000002</v>
      </c>
      <c r="P90" s="89">
        <v>0.32</v>
      </c>
      <c r="Q90" s="90">
        <f>N90*P90*$N$11</f>
        <v>1.2783284640000003</v>
      </c>
      <c r="R90" s="284"/>
      <c r="S90" s="284"/>
      <c r="T90" s="286"/>
      <c r="U90" s="286"/>
      <c r="W90" s="70"/>
      <c r="X90" s="70"/>
    </row>
    <row r="91" spans="1:24" s="69" customFormat="1" ht="12.75" customHeight="1">
      <c r="A91" s="50"/>
      <c r="B91" s="51"/>
      <c r="C91" s="52"/>
      <c r="D91" s="53"/>
      <c r="E91" s="267"/>
      <c r="F91" s="54"/>
      <c r="G91" s="55"/>
      <c r="H91" s="54"/>
      <c r="I91" s="56"/>
      <c r="J91" s="55"/>
      <c r="K91" s="57"/>
      <c r="L91" s="3"/>
      <c r="M91" s="1"/>
      <c r="N91" s="4"/>
      <c r="O91" s="5"/>
      <c r="P91" s="6"/>
      <c r="Q91" s="48"/>
      <c r="R91" s="262"/>
      <c r="S91" s="262"/>
      <c r="T91" s="49"/>
      <c r="U91" s="49"/>
      <c r="W91" s="70"/>
      <c r="X91" s="70"/>
    </row>
    <row r="92" spans="1:24" s="69" customFormat="1" ht="15" customHeight="1">
      <c r="A92" s="31">
        <f>A87+1</f>
        <v>8</v>
      </c>
      <c r="B92" s="275" t="s">
        <v>35</v>
      </c>
      <c r="C92" s="281" t="s">
        <v>115</v>
      </c>
      <c r="D92" s="45" t="s">
        <v>25</v>
      </c>
      <c r="E92" s="262">
        <f>540/100</f>
        <v>5.4</v>
      </c>
      <c r="F92" s="6"/>
      <c r="G92" s="2">
        <v>18.100000000000001</v>
      </c>
      <c r="H92" s="6"/>
      <c r="I92" s="46"/>
      <c r="J92" s="2">
        <v>15.3</v>
      </c>
      <c r="K92" s="47"/>
      <c r="L92" s="64"/>
      <c r="M92" s="65"/>
      <c r="N92" s="66"/>
      <c r="O92" s="67"/>
      <c r="P92" s="33"/>
      <c r="Q92" s="68"/>
      <c r="R92" s="42">
        <f>G93+J93</f>
        <v>74.100322000000006</v>
      </c>
      <c r="S92" s="283">
        <f>(R92+R93)*U92</f>
        <v>0</v>
      </c>
      <c r="T92" s="285">
        <f>E92*S92</f>
        <v>0</v>
      </c>
      <c r="U92" s="285"/>
      <c r="W92" s="70"/>
      <c r="X92" s="70"/>
    </row>
    <row r="93" spans="1:24" s="69" customFormat="1" ht="11.25" customHeight="1">
      <c r="A93" s="44"/>
      <c r="B93" s="275" t="s">
        <v>32</v>
      </c>
      <c r="C93" s="282"/>
      <c r="D93" s="45"/>
      <c r="E93" s="262"/>
      <c r="F93" s="6"/>
      <c r="G93" s="34">
        <f>G92*$J$13/1000</f>
        <v>34.424209000000005</v>
      </c>
      <c r="H93" s="6"/>
      <c r="I93" s="46"/>
      <c r="J93" s="34">
        <f>J92*$Q$13/1000</f>
        <v>39.676113000000008</v>
      </c>
      <c r="K93" s="47"/>
      <c r="L93" s="287" t="s">
        <v>116</v>
      </c>
      <c r="M93" s="71" t="s">
        <v>28</v>
      </c>
      <c r="N93" s="72">
        <v>110</v>
      </c>
      <c r="O93" s="72">
        <f>E92*N93</f>
        <v>594</v>
      </c>
      <c r="P93" s="140">
        <v>2.0640000000000001</v>
      </c>
      <c r="Q93" s="74">
        <f>N93*P93*$N$11</f>
        <v>259.13544148800008</v>
      </c>
      <c r="R93" s="283">
        <f>SUM(Q93:Q99)</f>
        <v>263.62557021780009</v>
      </c>
      <c r="S93" s="284"/>
      <c r="T93" s="286"/>
      <c r="U93" s="286"/>
      <c r="W93" s="70"/>
      <c r="X93" s="70"/>
    </row>
    <row r="94" spans="1:24" s="69" customFormat="1" ht="7.5" hidden="1" customHeight="1">
      <c r="A94" s="44"/>
      <c r="B94" s="43"/>
      <c r="C94" s="282"/>
      <c r="D94" s="45"/>
      <c r="E94" s="262"/>
      <c r="F94" s="6"/>
      <c r="G94" s="2"/>
      <c r="H94" s="6"/>
      <c r="I94" s="46"/>
      <c r="J94" s="2"/>
      <c r="K94" s="47"/>
      <c r="L94" s="301"/>
      <c r="M94" s="75"/>
      <c r="N94" s="76"/>
      <c r="O94" s="77"/>
      <c r="P94" s="78"/>
      <c r="Q94" s="79"/>
      <c r="R94" s="284"/>
      <c r="S94" s="284"/>
      <c r="T94" s="286"/>
      <c r="U94" s="286"/>
      <c r="W94" s="70"/>
      <c r="X94" s="70"/>
    </row>
    <row r="95" spans="1:24" s="69" customFormat="1" ht="12.75" hidden="1" customHeight="1">
      <c r="A95" s="44"/>
      <c r="B95" s="43"/>
      <c r="C95" s="282"/>
      <c r="D95" s="45"/>
      <c r="E95" s="262"/>
      <c r="F95" s="6"/>
      <c r="G95" s="2"/>
      <c r="H95" s="6"/>
      <c r="I95" s="46"/>
      <c r="J95" s="2"/>
      <c r="K95" s="47"/>
      <c r="L95" s="302" t="s">
        <v>42</v>
      </c>
      <c r="M95" s="106" t="s">
        <v>26</v>
      </c>
      <c r="N95" s="107">
        <v>5.0000000000000001E-3</v>
      </c>
      <c r="O95" s="107">
        <f>E92*N95</f>
        <v>2.7000000000000003E-2</v>
      </c>
      <c r="P95" s="108">
        <v>400</v>
      </c>
      <c r="Q95" s="109">
        <f>N95*P95*$N$11</f>
        <v>2.2827294000000005</v>
      </c>
      <c r="R95" s="284"/>
      <c r="S95" s="284"/>
      <c r="T95" s="286"/>
      <c r="U95" s="286"/>
      <c r="W95" s="70"/>
      <c r="X95" s="70"/>
    </row>
    <row r="96" spans="1:24" s="69" customFormat="1" ht="12.75" hidden="1" customHeight="1">
      <c r="A96" s="44"/>
      <c r="B96" s="43"/>
      <c r="C96" s="282"/>
      <c r="D96" s="45"/>
      <c r="E96" s="262"/>
      <c r="F96" s="6"/>
      <c r="G96" s="2"/>
      <c r="H96" s="6"/>
      <c r="I96" s="46"/>
      <c r="J96" s="2"/>
      <c r="K96" s="47"/>
      <c r="L96" s="301"/>
      <c r="M96" s="75"/>
      <c r="N96" s="76"/>
      <c r="O96" s="77"/>
      <c r="P96" s="78"/>
      <c r="Q96" s="79"/>
      <c r="R96" s="284"/>
      <c r="S96" s="284"/>
      <c r="T96" s="286"/>
      <c r="U96" s="286"/>
      <c r="W96" s="70"/>
      <c r="X96" s="70"/>
    </row>
    <row r="97" spans="1:24" s="69" customFormat="1" ht="12.75" hidden="1" customHeight="1">
      <c r="A97" s="44"/>
      <c r="B97" s="43"/>
      <c r="C97" s="282"/>
      <c r="D97" s="45"/>
      <c r="E97" s="262"/>
      <c r="F97" s="6"/>
      <c r="G97" s="2"/>
      <c r="H97" s="6"/>
      <c r="I97" s="46"/>
      <c r="J97" s="2"/>
      <c r="K97" s="47"/>
      <c r="L97" s="301"/>
      <c r="M97" s="75"/>
      <c r="N97" s="76"/>
      <c r="O97" s="77"/>
      <c r="P97" s="78"/>
      <c r="Q97" s="79"/>
      <c r="R97" s="284"/>
      <c r="S97" s="284"/>
      <c r="T97" s="286"/>
      <c r="U97" s="286"/>
      <c r="W97" s="70"/>
      <c r="X97" s="70"/>
    </row>
    <row r="98" spans="1:24" s="69" customFormat="1" ht="4.5" hidden="1" customHeight="1">
      <c r="A98" s="44"/>
      <c r="B98" s="43"/>
      <c r="C98" s="282"/>
      <c r="D98" s="45"/>
      <c r="E98" s="262"/>
      <c r="F98" s="6"/>
      <c r="G98" s="2"/>
      <c r="H98" s="6"/>
      <c r="I98" s="46"/>
      <c r="J98" s="2"/>
      <c r="K98" s="47"/>
      <c r="L98" s="301"/>
      <c r="M98" s="75"/>
      <c r="N98" s="76"/>
      <c r="O98" s="77"/>
      <c r="P98" s="78"/>
      <c r="Q98" s="79"/>
      <c r="R98" s="284"/>
      <c r="S98" s="284"/>
      <c r="T98" s="286"/>
      <c r="U98" s="286"/>
      <c r="W98" s="70"/>
      <c r="X98" s="70"/>
    </row>
    <row r="99" spans="1:24" s="69" customFormat="1" ht="12.75" hidden="1" customHeight="1">
      <c r="A99" s="44"/>
      <c r="B99" s="43"/>
      <c r="C99" s="282"/>
      <c r="D99" s="45"/>
      <c r="E99" s="262"/>
      <c r="F99" s="6"/>
      <c r="G99" s="2"/>
      <c r="H99" s="6"/>
      <c r="I99" s="46"/>
      <c r="J99" s="2"/>
      <c r="K99" s="47"/>
      <c r="L99" s="86" t="s">
        <v>43</v>
      </c>
      <c r="M99" s="87" t="s">
        <v>29</v>
      </c>
      <c r="N99" s="88">
        <v>2</v>
      </c>
      <c r="O99" s="88">
        <f>E92*N99</f>
        <v>10.8</v>
      </c>
      <c r="P99" s="166">
        <v>0.96699999999999997</v>
      </c>
      <c r="Q99" s="90">
        <f>N99*P99*$N$11</f>
        <v>2.2073993298000003</v>
      </c>
      <c r="R99" s="284"/>
      <c r="S99" s="284"/>
      <c r="T99" s="286"/>
      <c r="U99" s="286"/>
      <c r="W99" s="70"/>
      <c r="X99" s="70"/>
    </row>
    <row r="100" spans="1:24" s="69" customFormat="1" ht="15.75" customHeight="1">
      <c r="A100" s="50"/>
      <c r="B100" s="51"/>
      <c r="C100" s="52"/>
      <c r="D100" s="53"/>
      <c r="E100" s="267"/>
      <c r="F100" s="54"/>
      <c r="G100" s="55"/>
      <c r="H100" s="54"/>
      <c r="I100" s="56"/>
      <c r="J100" s="55"/>
      <c r="K100" s="57"/>
      <c r="L100" s="3"/>
      <c r="M100" s="1"/>
      <c r="N100" s="4"/>
      <c r="O100" s="5"/>
      <c r="P100" s="6"/>
      <c r="Q100" s="48"/>
      <c r="R100" s="262"/>
      <c r="S100" s="262"/>
      <c r="T100" s="49"/>
      <c r="U100" s="49"/>
      <c r="W100" s="70"/>
      <c r="X100" s="70"/>
    </row>
    <row r="101" spans="1:24" ht="12.75" customHeight="1">
      <c r="A101" s="31">
        <f>A92+1</f>
        <v>9</v>
      </c>
      <c r="B101" s="275" t="s">
        <v>63</v>
      </c>
      <c r="C101" s="281" t="s">
        <v>86</v>
      </c>
      <c r="D101" s="45" t="s">
        <v>65</v>
      </c>
      <c r="E101" s="262">
        <f>106.4/100</f>
        <v>1.0640000000000001</v>
      </c>
      <c r="G101" s="2">
        <v>15.9</v>
      </c>
      <c r="I101" s="46"/>
      <c r="J101" s="2">
        <v>0.41</v>
      </c>
      <c r="K101" s="47"/>
      <c r="L101" s="64"/>
      <c r="M101" s="65"/>
      <c r="N101" s="66"/>
      <c r="O101" s="67"/>
      <c r="P101" s="33"/>
      <c r="Q101" s="68"/>
      <c r="R101" s="42">
        <f>G102+J102</f>
        <v>31.303267100000003</v>
      </c>
      <c r="S101" s="283">
        <f>(R101+R102)*U101</f>
        <v>0</v>
      </c>
      <c r="T101" s="285">
        <f>E101*S101</f>
        <v>0</v>
      </c>
      <c r="U101" s="285"/>
      <c r="V101" s="70"/>
    </row>
    <row r="102" spans="1:24" ht="12.75" customHeight="1">
      <c r="A102" s="44"/>
      <c r="B102" s="275" t="s">
        <v>66</v>
      </c>
      <c r="C102" s="282"/>
      <c r="E102" s="262"/>
      <c r="G102" s="34">
        <f>G101*$J$13/1000</f>
        <v>30.240051000000005</v>
      </c>
      <c r="I102" s="46"/>
      <c r="J102" s="34">
        <f>J101*$Q$13/1000</f>
        <v>1.0632160999999998</v>
      </c>
      <c r="K102" s="47"/>
      <c r="L102" s="287" t="s">
        <v>87</v>
      </c>
      <c r="M102" s="71" t="s">
        <v>28</v>
      </c>
      <c r="N102" s="72">
        <v>105</v>
      </c>
      <c r="O102" s="72">
        <f>E101*N102</f>
        <v>111.72</v>
      </c>
      <c r="P102" s="140">
        <v>2.0960000000000001</v>
      </c>
      <c r="Q102" s="74">
        <f>N102*P102*$N$11</f>
        <v>251.19154317600007</v>
      </c>
      <c r="R102" s="283">
        <f>SUM(Q102:Q107)</f>
        <v>423.99301739130016</v>
      </c>
      <c r="S102" s="284"/>
      <c r="T102" s="286"/>
      <c r="U102" s="286"/>
      <c r="V102" s="70"/>
    </row>
    <row r="103" spans="1:24" ht="0.75" customHeight="1">
      <c r="A103" s="44"/>
      <c r="C103" s="282"/>
      <c r="E103" s="262"/>
      <c r="I103" s="46"/>
      <c r="K103" s="47"/>
      <c r="L103" s="301"/>
      <c r="M103" s="75"/>
      <c r="N103" s="76"/>
      <c r="O103" s="77"/>
      <c r="P103" s="78"/>
      <c r="Q103" s="79"/>
      <c r="R103" s="284"/>
      <c r="S103" s="284"/>
      <c r="T103" s="286"/>
      <c r="U103" s="286"/>
      <c r="V103" s="70"/>
    </row>
    <row r="104" spans="1:24" ht="12.75" hidden="1" customHeight="1">
      <c r="A104" s="44"/>
      <c r="C104" s="282"/>
      <c r="E104" s="262"/>
      <c r="I104" s="46"/>
      <c r="K104" s="47"/>
      <c r="L104" s="268" t="s">
        <v>88</v>
      </c>
      <c r="M104" s="106" t="s">
        <v>29</v>
      </c>
      <c r="N104" s="107">
        <v>169</v>
      </c>
      <c r="O104" s="107">
        <f>E101*N104</f>
        <v>179.816</v>
      </c>
      <c r="P104" s="164">
        <v>0.86099999999999999</v>
      </c>
      <c r="Q104" s="109">
        <f>N104*P104*$N$11</f>
        <v>166.07883613230001</v>
      </c>
      <c r="R104" s="284"/>
      <c r="S104" s="284"/>
      <c r="T104" s="286"/>
      <c r="U104" s="286"/>
      <c r="V104" s="70"/>
    </row>
    <row r="105" spans="1:24" ht="12.75" hidden="1" customHeight="1">
      <c r="A105" s="44"/>
      <c r="C105" s="282"/>
      <c r="E105" s="262"/>
      <c r="I105" s="46"/>
      <c r="K105" s="47"/>
      <c r="L105" s="302" t="s">
        <v>89</v>
      </c>
      <c r="M105" s="106" t="s">
        <v>29</v>
      </c>
      <c r="N105" s="107">
        <v>3.8</v>
      </c>
      <c r="O105" s="107">
        <f>E101*N105</f>
        <v>4.0431999999999997</v>
      </c>
      <c r="P105" s="166">
        <v>0.96699999999999997</v>
      </c>
      <c r="Q105" s="109">
        <f>N105*P105*$N$11</f>
        <v>4.1940587266200007</v>
      </c>
      <c r="R105" s="284"/>
      <c r="S105" s="284"/>
      <c r="T105" s="286"/>
      <c r="U105" s="286"/>
      <c r="V105" s="70"/>
    </row>
    <row r="106" spans="1:24" ht="12.75" hidden="1" customHeight="1">
      <c r="A106" s="44"/>
      <c r="C106" s="282"/>
      <c r="E106" s="262"/>
      <c r="I106" s="46"/>
      <c r="K106" s="47"/>
      <c r="L106" s="301"/>
      <c r="M106" s="75"/>
      <c r="N106" s="76"/>
      <c r="O106" s="77"/>
      <c r="P106" s="78"/>
      <c r="Q106" s="79"/>
      <c r="R106" s="284"/>
      <c r="S106" s="284"/>
      <c r="T106" s="286"/>
      <c r="U106" s="286"/>
      <c r="V106" s="70"/>
    </row>
    <row r="107" spans="1:24" ht="12.75" hidden="1" customHeight="1">
      <c r="A107" s="44"/>
      <c r="C107" s="282"/>
      <c r="E107" s="262"/>
      <c r="I107" s="46"/>
      <c r="K107" s="47"/>
      <c r="L107" s="86" t="s">
        <v>41</v>
      </c>
      <c r="M107" s="87" t="s">
        <v>29</v>
      </c>
      <c r="N107" s="88">
        <v>3.8</v>
      </c>
      <c r="O107" s="88">
        <f>E101*N107</f>
        <v>4.0431999999999997</v>
      </c>
      <c r="P107" s="166">
        <v>0.58299999999999996</v>
      </c>
      <c r="Q107" s="90">
        <f>N107*P107*$N$11</f>
        <v>2.5285793563800003</v>
      </c>
      <c r="R107" s="284"/>
      <c r="S107" s="284"/>
      <c r="T107" s="286"/>
      <c r="U107" s="286"/>
      <c r="V107" s="70"/>
    </row>
    <row r="108" spans="1:24" ht="12.75" customHeight="1">
      <c r="A108" s="50"/>
      <c r="B108" s="51"/>
      <c r="C108" s="52"/>
      <c r="D108" s="53"/>
      <c r="E108" s="267"/>
      <c r="F108" s="54"/>
      <c r="G108" s="55"/>
      <c r="H108" s="54"/>
      <c r="I108" s="56"/>
      <c r="J108" s="55"/>
      <c r="K108" s="57"/>
      <c r="Q108" s="48"/>
      <c r="R108" s="262"/>
      <c r="S108" s="262"/>
      <c r="T108" s="49"/>
      <c r="U108" s="49"/>
      <c r="V108" s="70"/>
    </row>
    <row r="109" spans="1:24" ht="12.75" customHeight="1">
      <c r="A109" s="63">
        <f>A101+1</f>
        <v>10</v>
      </c>
      <c r="B109" s="274" t="s">
        <v>90</v>
      </c>
      <c r="C109" s="281" t="s">
        <v>128</v>
      </c>
      <c r="D109" s="32" t="s">
        <v>91</v>
      </c>
      <c r="E109" s="261">
        <v>10</v>
      </c>
      <c r="F109" s="33"/>
      <c r="G109" s="34">
        <v>2.12</v>
      </c>
      <c r="H109" s="33"/>
      <c r="I109" s="35"/>
      <c r="J109" s="34">
        <v>0.03</v>
      </c>
      <c r="K109" s="36"/>
      <c r="L109" s="64"/>
      <c r="M109" s="65"/>
      <c r="N109" s="66"/>
      <c r="O109" s="67"/>
      <c r="P109" s="33"/>
      <c r="Q109" s="68"/>
      <c r="R109" s="42">
        <f>G110+J110</f>
        <v>4.1098031000000006</v>
      </c>
      <c r="S109" s="283">
        <f>(R109+R110)*U109</f>
        <v>0</v>
      </c>
      <c r="T109" s="285">
        <f>E109*S109</f>
        <v>0</v>
      </c>
      <c r="U109" s="285"/>
      <c r="V109" s="70"/>
    </row>
    <row r="110" spans="1:24" ht="12" customHeight="1">
      <c r="A110" s="44"/>
      <c r="C110" s="282"/>
      <c r="E110" s="262"/>
      <c r="G110" s="34">
        <f>G109*$J$13/1000</f>
        <v>4.0320068000000004</v>
      </c>
      <c r="I110" s="46"/>
      <c r="J110" s="34">
        <f>J109*$Q$13/1000</f>
        <v>7.7796299999999999E-2</v>
      </c>
      <c r="K110" s="47"/>
      <c r="L110" s="265" t="s">
        <v>92</v>
      </c>
      <c r="M110" s="71" t="s">
        <v>30</v>
      </c>
      <c r="N110" s="72">
        <v>10.4</v>
      </c>
      <c r="O110" s="72">
        <f>E109*N110</f>
        <v>104</v>
      </c>
      <c r="P110" s="140">
        <v>1.278</v>
      </c>
      <c r="Q110" s="74">
        <f>N110*P110*$N$11</f>
        <v>15.170106500640003</v>
      </c>
      <c r="R110" s="283">
        <f>SUM(Q110:Q114)</f>
        <v>29.058916989060002</v>
      </c>
      <c r="S110" s="284"/>
      <c r="T110" s="286"/>
      <c r="U110" s="286"/>
      <c r="V110" s="70"/>
    </row>
    <row r="111" spans="1:24" ht="12.75" hidden="1" customHeight="1">
      <c r="A111" s="44"/>
      <c r="C111" s="282"/>
      <c r="E111" s="262"/>
      <c r="I111" s="46"/>
      <c r="K111" s="47"/>
      <c r="L111" s="268" t="s">
        <v>60</v>
      </c>
      <c r="M111" s="106" t="s">
        <v>59</v>
      </c>
      <c r="N111" s="107">
        <v>1</v>
      </c>
      <c r="O111" s="107">
        <f>E109*N111</f>
        <v>10</v>
      </c>
      <c r="P111" s="164">
        <v>1.458</v>
      </c>
      <c r="Q111" s="109">
        <f>N111*P111*$N$11</f>
        <v>1.6641097326000003</v>
      </c>
      <c r="R111" s="284"/>
      <c r="S111" s="284"/>
      <c r="T111" s="286"/>
      <c r="U111" s="286"/>
      <c r="V111" s="70"/>
    </row>
    <row r="112" spans="1:24" ht="12.75" hidden="1" customHeight="1">
      <c r="A112" s="44"/>
      <c r="C112" s="282"/>
      <c r="E112" s="262"/>
      <c r="I112" s="46"/>
      <c r="K112" s="47"/>
      <c r="L112" s="268" t="s">
        <v>114</v>
      </c>
      <c r="M112" s="106" t="s">
        <v>59</v>
      </c>
      <c r="N112" s="107">
        <v>2</v>
      </c>
      <c r="O112" s="107">
        <f>E109*N112</f>
        <v>20</v>
      </c>
      <c r="P112" s="164">
        <v>0.81299999999999994</v>
      </c>
      <c r="Q112" s="109">
        <f t="shared" ref="Q112:Q114" si="0">N112*P112*$N$11</f>
        <v>1.8558590022000003</v>
      </c>
      <c r="R112" s="284"/>
      <c r="S112" s="284"/>
      <c r="T112" s="286"/>
      <c r="U112" s="286"/>
      <c r="V112" s="70"/>
    </row>
    <row r="113" spans="1:22" ht="12.75" hidden="1" customHeight="1">
      <c r="A113" s="44"/>
      <c r="C113" s="282"/>
      <c r="E113" s="262"/>
      <c r="I113" s="46"/>
      <c r="K113" s="47"/>
      <c r="L113" s="268" t="s">
        <v>93</v>
      </c>
      <c r="M113" s="106" t="s">
        <v>59</v>
      </c>
      <c r="N113" s="107">
        <v>1</v>
      </c>
      <c r="O113" s="107">
        <f>E109*N113</f>
        <v>10</v>
      </c>
      <c r="P113" s="164">
        <v>1.68</v>
      </c>
      <c r="Q113" s="109">
        <f t="shared" si="0"/>
        <v>1.9174926960000003</v>
      </c>
      <c r="R113" s="284"/>
      <c r="S113" s="284"/>
      <c r="T113" s="286"/>
      <c r="U113" s="286"/>
      <c r="V113" s="70"/>
    </row>
    <row r="114" spans="1:22" ht="12.75" customHeight="1">
      <c r="A114" s="50"/>
      <c r="B114" s="51"/>
      <c r="C114" s="289"/>
      <c r="D114" s="53"/>
      <c r="E114" s="267"/>
      <c r="F114" s="54"/>
      <c r="G114" s="55"/>
      <c r="H114" s="54"/>
      <c r="I114" s="56"/>
      <c r="J114" s="55"/>
      <c r="K114" s="57"/>
      <c r="L114" s="147" t="s">
        <v>88</v>
      </c>
      <c r="M114" s="148" t="s">
        <v>29</v>
      </c>
      <c r="N114" s="149">
        <v>8.6</v>
      </c>
      <c r="O114" s="149">
        <f>E109*N114</f>
        <v>86</v>
      </c>
      <c r="P114" s="168">
        <v>0.86099999999999999</v>
      </c>
      <c r="Q114" s="151">
        <f t="shared" si="0"/>
        <v>8.4513490576200017</v>
      </c>
      <c r="R114" s="290"/>
      <c r="S114" s="290"/>
      <c r="T114" s="286"/>
      <c r="U114" s="286"/>
      <c r="V114" s="70"/>
    </row>
    <row r="115" spans="1:22" ht="12.75" customHeight="1">
      <c r="A115" s="31">
        <f>A109+1</f>
        <v>11</v>
      </c>
      <c r="B115" s="275" t="s">
        <v>36</v>
      </c>
      <c r="C115" s="281" t="s">
        <v>94</v>
      </c>
      <c r="D115" s="45" t="s">
        <v>28</v>
      </c>
      <c r="E115" s="262">
        <v>30</v>
      </c>
      <c r="G115" s="2">
        <v>0.45800000000000002</v>
      </c>
      <c r="I115" s="46"/>
      <c r="J115" s="2">
        <v>4.1000000000000064E-3</v>
      </c>
      <c r="K115" s="47"/>
      <c r="L115" s="64"/>
      <c r="M115" s="65"/>
      <c r="N115" s="66"/>
      <c r="O115" s="67"/>
      <c r="P115" s="33"/>
      <c r="Q115" s="68"/>
      <c r="R115" s="42">
        <f>G116+J116</f>
        <v>0.88169778100000007</v>
      </c>
      <c r="S115" s="283">
        <f>(R115+R116)*U115</f>
        <v>0</v>
      </c>
      <c r="T115" s="285">
        <f>E115*S115</f>
        <v>0</v>
      </c>
      <c r="U115" s="285"/>
      <c r="V115" s="70"/>
    </row>
    <row r="116" spans="1:22" ht="12.75" customHeight="1">
      <c r="A116" s="44"/>
      <c r="B116" s="275" t="s">
        <v>37</v>
      </c>
      <c r="C116" s="282"/>
      <c r="E116" s="262"/>
      <c r="G116" s="34">
        <f>G115*$J$13/1000</f>
        <v>0.8710656200000001</v>
      </c>
      <c r="I116" s="46"/>
      <c r="J116" s="34">
        <f>J115*$Q$13/1000</f>
        <v>1.0632161000000017E-2</v>
      </c>
      <c r="K116" s="47"/>
      <c r="L116" s="287" t="s">
        <v>95</v>
      </c>
      <c r="M116" s="71" t="s">
        <v>28</v>
      </c>
      <c r="N116" s="146">
        <v>1.0249999999999999</v>
      </c>
      <c r="O116" s="72">
        <f>E115*N116</f>
        <v>30.749999999999996</v>
      </c>
      <c r="P116" s="140">
        <v>2.0960000000000001</v>
      </c>
      <c r="Q116" s="74">
        <f>N116*P116*$N$11</f>
        <v>2.4521079214800006</v>
      </c>
      <c r="R116" s="262">
        <f>SUM(Q116:Q116)</f>
        <v>2.4521079214800006</v>
      </c>
      <c r="S116" s="284"/>
      <c r="T116" s="286"/>
      <c r="U116" s="286"/>
      <c r="V116" s="70"/>
    </row>
    <row r="117" spans="1:22" ht="1.5" customHeight="1">
      <c r="A117" s="44"/>
      <c r="C117" s="282"/>
      <c r="E117" s="262"/>
      <c r="I117" s="46"/>
      <c r="K117" s="47"/>
      <c r="L117" s="288"/>
      <c r="M117" s="80"/>
      <c r="N117" s="81"/>
      <c r="O117" s="82"/>
      <c r="P117" s="83"/>
      <c r="Q117" s="84"/>
      <c r="R117" s="262"/>
      <c r="S117" s="262"/>
      <c r="T117" s="49"/>
      <c r="U117" s="49"/>
      <c r="V117" s="70"/>
    </row>
    <row r="118" spans="1:22" ht="12.75" customHeight="1">
      <c r="A118" s="50"/>
      <c r="B118" s="51"/>
      <c r="C118" s="52"/>
      <c r="D118" s="53"/>
      <c r="E118" s="267"/>
      <c r="F118" s="54"/>
      <c r="G118" s="55"/>
      <c r="H118" s="54"/>
      <c r="I118" s="56"/>
      <c r="J118" s="55"/>
      <c r="K118" s="57"/>
      <c r="Q118" s="48"/>
      <c r="R118" s="262"/>
      <c r="S118" s="262"/>
      <c r="T118" s="49"/>
      <c r="U118" s="49"/>
      <c r="V118" s="70"/>
    </row>
    <row r="119" spans="1:22" ht="12.75" customHeight="1">
      <c r="A119" s="31">
        <f>A115+1</f>
        <v>12</v>
      </c>
      <c r="B119" s="275" t="s">
        <v>36</v>
      </c>
      <c r="C119" s="281" t="s">
        <v>105</v>
      </c>
      <c r="D119" s="45" t="s">
        <v>28</v>
      </c>
      <c r="E119" s="262">
        <v>16.5</v>
      </c>
      <c r="G119" s="2">
        <v>0.45800000000000002</v>
      </c>
      <c r="I119" s="46"/>
      <c r="J119" s="2">
        <v>4.1000000000000064E-3</v>
      </c>
      <c r="K119" s="47"/>
      <c r="L119" s="64"/>
      <c r="M119" s="65"/>
      <c r="N119" s="66"/>
      <c r="O119" s="67"/>
      <c r="P119" s="33"/>
      <c r="Q119" s="68"/>
      <c r="R119" s="42">
        <f>G120+J120</f>
        <v>0.88169778100000007</v>
      </c>
      <c r="S119" s="283">
        <f>(R119+R120)*U119</f>
        <v>0</v>
      </c>
      <c r="T119" s="285">
        <f>E119*S119</f>
        <v>0</v>
      </c>
      <c r="U119" s="285"/>
      <c r="V119" s="70"/>
    </row>
    <row r="120" spans="1:22" ht="12.75" customHeight="1">
      <c r="A120" s="44"/>
      <c r="B120" s="275" t="s">
        <v>37</v>
      </c>
      <c r="C120" s="282"/>
      <c r="E120" s="262"/>
      <c r="G120" s="34">
        <f>G119*$J$13/1000</f>
        <v>0.8710656200000001</v>
      </c>
      <c r="I120" s="46"/>
      <c r="J120" s="34">
        <f>J119*$Q$13/1000</f>
        <v>1.0632161000000017E-2</v>
      </c>
      <c r="K120" s="47"/>
      <c r="L120" s="287" t="s">
        <v>95</v>
      </c>
      <c r="M120" s="71" t="s">
        <v>28</v>
      </c>
      <c r="N120" s="146">
        <v>1.0249999999999999</v>
      </c>
      <c r="O120" s="72">
        <f>E119*N120</f>
        <v>16.912499999999998</v>
      </c>
      <c r="P120" s="140">
        <v>2.0960000000000001</v>
      </c>
      <c r="Q120" s="74">
        <f>N120*P120*$N$11</f>
        <v>2.4521079214800006</v>
      </c>
      <c r="R120" s="262">
        <f>SUM(Q120:Q120)</f>
        <v>2.4521079214800006</v>
      </c>
      <c r="S120" s="284"/>
      <c r="T120" s="286"/>
      <c r="U120" s="286"/>
      <c r="V120" s="70"/>
    </row>
    <row r="121" spans="1:22" ht="0.75" customHeight="1">
      <c r="A121" s="44"/>
      <c r="C121" s="282"/>
      <c r="E121" s="262"/>
      <c r="I121" s="46"/>
      <c r="K121" s="47"/>
      <c r="L121" s="288"/>
      <c r="M121" s="80"/>
      <c r="N121" s="81"/>
      <c r="O121" s="82"/>
      <c r="P121" s="83"/>
      <c r="Q121" s="84"/>
      <c r="R121" s="262"/>
      <c r="S121" s="262"/>
      <c r="T121" s="49"/>
      <c r="U121" s="49"/>
      <c r="V121" s="70"/>
    </row>
    <row r="122" spans="1:22" ht="12.75" customHeight="1">
      <c r="A122" s="50"/>
      <c r="B122" s="51"/>
      <c r="C122" s="52"/>
      <c r="D122" s="53"/>
      <c r="E122" s="267"/>
      <c r="F122" s="54"/>
      <c r="G122" s="55"/>
      <c r="H122" s="54"/>
      <c r="I122" s="56"/>
      <c r="J122" s="55"/>
      <c r="K122" s="57"/>
      <c r="Q122" s="48"/>
      <c r="R122" s="262"/>
      <c r="S122" s="262"/>
      <c r="T122" s="49"/>
      <c r="U122" s="49"/>
      <c r="V122" s="70"/>
    </row>
    <row r="123" spans="1:22" ht="12.75" customHeight="1">
      <c r="A123" s="31">
        <f>A119+1</f>
        <v>13</v>
      </c>
      <c r="B123" s="275" t="s">
        <v>36</v>
      </c>
      <c r="C123" s="281" t="s">
        <v>96</v>
      </c>
      <c r="D123" s="45" t="s">
        <v>28</v>
      </c>
      <c r="E123" s="262">
        <v>10.4</v>
      </c>
      <c r="G123" s="2">
        <v>0.45800000000000002</v>
      </c>
      <c r="I123" s="46"/>
      <c r="J123" s="2">
        <v>4.1000000000000064E-3</v>
      </c>
      <c r="K123" s="47"/>
      <c r="L123" s="64"/>
      <c r="M123" s="65"/>
      <c r="N123" s="66"/>
      <c r="O123" s="67"/>
      <c r="P123" s="33"/>
      <c r="Q123" s="68"/>
      <c r="R123" s="42">
        <f>G124+J124</f>
        <v>0.88169778100000007</v>
      </c>
      <c r="S123" s="283">
        <f>(R123+R124)*U123</f>
        <v>0</v>
      </c>
      <c r="T123" s="285">
        <f>E123*S123</f>
        <v>0</v>
      </c>
      <c r="U123" s="285"/>
      <c r="V123" s="70"/>
    </row>
    <row r="124" spans="1:22" ht="11.25" customHeight="1">
      <c r="A124" s="44"/>
      <c r="B124" s="275" t="s">
        <v>37</v>
      </c>
      <c r="C124" s="282"/>
      <c r="E124" s="262"/>
      <c r="G124" s="34">
        <f>G123*$J$13/1000</f>
        <v>0.8710656200000001</v>
      </c>
      <c r="I124" s="46"/>
      <c r="J124" s="34">
        <f>J123*$Q$13/1000</f>
        <v>1.0632161000000017E-2</v>
      </c>
      <c r="K124" s="47"/>
      <c r="L124" s="287" t="s">
        <v>95</v>
      </c>
      <c r="M124" s="71" t="s">
        <v>28</v>
      </c>
      <c r="N124" s="146">
        <v>1.0249999999999999</v>
      </c>
      <c r="O124" s="72">
        <f>E123*N124</f>
        <v>10.66</v>
      </c>
      <c r="P124" s="140">
        <v>2.0960000000000001</v>
      </c>
      <c r="Q124" s="74">
        <f>N124*P124*$N$11</f>
        <v>2.4521079214800006</v>
      </c>
      <c r="R124" s="262">
        <f>SUM(Q124:Q124)</f>
        <v>2.4521079214800006</v>
      </c>
      <c r="S124" s="284"/>
      <c r="T124" s="286"/>
      <c r="U124" s="286"/>
      <c r="V124" s="70"/>
    </row>
    <row r="125" spans="1:22" ht="15" hidden="1" customHeight="1">
      <c r="A125" s="44"/>
      <c r="C125" s="282"/>
      <c r="E125" s="262"/>
      <c r="I125" s="46"/>
      <c r="K125" s="47"/>
      <c r="L125" s="288"/>
      <c r="M125" s="80"/>
      <c r="N125" s="81"/>
      <c r="O125" s="82"/>
      <c r="P125" s="83"/>
      <c r="Q125" s="84"/>
      <c r="R125" s="262"/>
      <c r="S125" s="262"/>
      <c r="T125" s="49"/>
      <c r="U125" s="49"/>
      <c r="V125" s="70"/>
    </row>
    <row r="126" spans="1:22" ht="12.75" customHeight="1">
      <c r="A126" s="50"/>
      <c r="B126" s="51"/>
      <c r="C126" s="52"/>
      <c r="D126" s="53"/>
      <c r="E126" s="267"/>
      <c r="F126" s="54"/>
      <c r="G126" s="55"/>
      <c r="H126" s="54"/>
      <c r="I126" s="56"/>
      <c r="J126" s="55"/>
      <c r="K126" s="57"/>
      <c r="Q126" s="48"/>
      <c r="R126" s="262"/>
      <c r="S126" s="262"/>
      <c r="T126" s="49"/>
      <c r="U126" s="49"/>
      <c r="V126" s="70"/>
    </row>
    <row r="127" spans="1:22" ht="12.75" customHeight="1">
      <c r="A127" s="31">
        <f>A123+1</f>
        <v>14</v>
      </c>
      <c r="B127" s="275" t="s">
        <v>36</v>
      </c>
      <c r="C127" s="281" t="s">
        <v>97</v>
      </c>
      <c r="D127" s="45" t="s">
        <v>28</v>
      </c>
      <c r="E127" s="262">
        <v>6.4</v>
      </c>
      <c r="G127" s="2">
        <v>0.45800000000000002</v>
      </c>
      <c r="I127" s="46"/>
      <c r="J127" s="2">
        <v>4.1000000000000064E-3</v>
      </c>
      <c r="K127" s="47"/>
      <c r="L127" s="64"/>
      <c r="M127" s="65"/>
      <c r="N127" s="66"/>
      <c r="O127" s="67"/>
      <c r="P127" s="33"/>
      <c r="Q127" s="68"/>
      <c r="R127" s="42">
        <f>G128+J128</f>
        <v>0.88169778100000007</v>
      </c>
      <c r="S127" s="283">
        <f>(R127+R128)*U127</f>
        <v>0</v>
      </c>
      <c r="T127" s="285">
        <f>E127*S127</f>
        <v>0</v>
      </c>
      <c r="U127" s="285"/>
      <c r="V127" s="70"/>
    </row>
    <row r="128" spans="1:22" ht="12" customHeight="1">
      <c r="A128" s="44"/>
      <c r="B128" s="275" t="s">
        <v>37</v>
      </c>
      <c r="C128" s="282"/>
      <c r="E128" s="262"/>
      <c r="G128" s="34">
        <f>G127*$J$13/1000</f>
        <v>0.8710656200000001</v>
      </c>
      <c r="I128" s="46"/>
      <c r="J128" s="34">
        <f>J127*$Q$13/1000</f>
        <v>1.0632161000000017E-2</v>
      </c>
      <c r="K128" s="47"/>
      <c r="L128" s="287" t="s">
        <v>95</v>
      </c>
      <c r="M128" s="71" t="s">
        <v>28</v>
      </c>
      <c r="N128" s="146">
        <v>1.0249999999999999</v>
      </c>
      <c r="O128" s="72">
        <f>E127*N128</f>
        <v>6.56</v>
      </c>
      <c r="P128" s="140">
        <v>2.0960000000000001</v>
      </c>
      <c r="Q128" s="74">
        <f>N128*P128*$N$11</f>
        <v>2.4521079214800006</v>
      </c>
      <c r="R128" s="262">
        <f>SUM(Q128:Q128)</f>
        <v>2.4521079214800006</v>
      </c>
      <c r="S128" s="284"/>
      <c r="T128" s="286"/>
      <c r="U128" s="286"/>
      <c r="V128" s="70"/>
    </row>
    <row r="129" spans="1:22" ht="10.5" hidden="1" customHeight="1">
      <c r="A129" s="44"/>
      <c r="C129" s="282"/>
      <c r="E129" s="262"/>
      <c r="I129" s="46"/>
      <c r="K129" s="47"/>
      <c r="L129" s="288"/>
      <c r="M129" s="80"/>
      <c r="N129" s="81"/>
      <c r="O129" s="82"/>
      <c r="P129" s="83"/>
      <c r="Q129" s="84"/>
      <c r="R129" s="262"/>
      <c r="S129" s="262"/>
      <c r="T129" s="49"/>
      <c r="U129" s="49"/>
      <c r="V129" s="70"/>
    </row>
    <row r="130" spans="1:22" ht="12.75" customHeight="1">
      <c r="A130" s="50"/>
      <c r="B130" s="51"/>
      <c r="C130" s="52"/>
      <c r="D130" s="53"/>
      <c r="E130" s="267"/>
      <c r="F130" s="54"/>
      <c r="G130" s="55"/>
      <c r="H130" s="54"/>
      <c r="I130" s="56"/>
      <c r="J130" s="55"/>
      <c r="K130" s="57"/>
      <c r="Q130" s="48"/>
      <c r="R130" s="262"/>
      <c r="S130" s="262"/>
      <c r="T130" s="49"/>
      <c r="U130" s="49"/>
      <c r="V130" s="70"/>
    </row>
    <row r="131" spans="1:22" ht="12.75" customHeight="1">
      <c r="A131" s="31">
        <f>A127+1</f>
        <v>15</v>
      </c>
      <c r="B131" s="274" t="s">
        <v>51</v>
      </c>
      <c r="C131" s="281" t="s">
        <v>98</v>
      </c>
      <c r="D131" s="45" t="s">
        <v>26</v>
      </c>
      <c r="E131" s="152">
        <f>1.6*E136/1000</f>
        <v>7.1520000000000014E-2</v>
      </c>
      <c r="G131" s="2">
        <v>15.4</v>
      </c>
      <c r="I131" s="46"/>
      <c r="J131" s="2">
        <v>11.4</v>
      </c>
      <c r="K131" s="47"/>
      <c r="L131" s="64"/>
      <c r="M131" s="65"/>
      <c r="N131" s="66"/>
      <c r="O131" s="67"/>
      <c r="P131" s="33"/>
      <c r="Q131" s="68"/>
      <c r="R131" s="42">
        <f>G132+J132</f>
        <v>58.851700000000008</v>
      </c>
      <c r="S131" s="283">
        <f>(R131+R132)*U131</f>
        <v>0</v>
      </c>
      <c r="T131" s="285">
        <f>E131*S131</f>
        <v>0</v>
      </c>
      <c r="U131" s="285"/>
      <c r="V131" s="70"/>
    </row>
    <row r="132" spans="1:22" ht="14.25" customHeight="1">
      <c r="A132" s="44"/>
      <c r="B132" s="275"/>
      <c r="C132" s="282"/>
      <c r="E132" s="262"/>
      <c r="G132" s="34">
        <f>G131*$J$13/1000</f>
        <v>29.289106000000004</v>
      </c>
      <c r="I132" s="46"/>
      <c r="J132" s="34">
        <f>J131*$Q$13/1000</f>
        <v>29.562594000000001</v>
      </c>
      <c r="K132" s="47"/>
      <c r="L132" s="299"/>
      <c r="M132" s="71"/>
      <c r="N132" s="72"/>
      <c r="O132" s="72"/>
      <c r="P132" s="73"/>
      <c r="Q132" s="74"/>
      <c r="R132" s="283">
        <f>SUM(Q132:Q134)</f>
        <v>0</v>
      </c>
      <c r="S132" s="284"/>
      <c r="T132" s="286"/>
      <c r="U132" s="286"/>
      <c r="V132" s="70"/>
    </row>
    <row r="133" spans="1:22" ht="0.75" customHeight="1">
      <c r="A133" s="44"/>
      <c r="C133" s="282"/>
      <c r="E133" s="262"/>
      <c r="I133" s="46"/>
      <c r="K133" s="47"/>
      <c r="L133" s="300"/>
      <c r="M133" s="75"/>
      <c r="N133" s="76"/>
      <c r="O133" s="77"/>
      <c r="P133" s="78"/>
      <c r="Q133" s="79"/>
      <c r="R133" s="284"/>
      <c r="S133" s="284"/>
      <c r="T133" s="286"/>
      <c r="U133" s="286"/>
      <c r="V133" s="70"/>
    </row>
    <row r="134" spans="1:22" ht="12.75" hidden="1" customHeight="1">
      <c r="A134" s="44"/>
      <c r="C134" s="282"/>
      <c r="E134" s="262"/>
      <c r="I134" s="46"/>
      <c r="K134" s="47"/>
      <c r="L134" s="268"/>
      <c r="M134" s="106"/>
      <c r="N134" s="107"/>
      <c r="O134" s="107"/>
      <c r="P134" s="108"/>
      <c r="Q134" s="109"/>
      <c r="R134" s="284"/>
      <c r="S134" s="284"/>
      <c r="T134" s="286"/>
      <c r="U134" s="286"/>
      <c r="V134" s="70"/>
    </row>
    <row r="135" spans="1:22" ht="12.75" customHeight="1">
      <c r="A135" s="50"/>
      <c r="B135" s="51"/>
      <c r="C135" s="52"/>
      <c r="D135" s="53"/>
      <c r="E135" s="267"/>
      <c r="F135" s="54"/>
      <c r="G135" s="55"/>
      <c r="H135" s="54"/>
      <c r="I135" s="56"/>
      <c r="J135" s="55"/>
      <c r="K135" s="57"/>
      <c r="Q135" s="48"/>
      <c r="R135" s="262"/>
      <c r="S135" s="262"/>
      <c r="T135" s="49"/>
      <c r="U135" s="49"/>
      <c r="V135" s="70"/>
    </row>
    <row r="136" spans="1:22" ht="12.75" customHeight="1">
      <c r="A136" s="31">
        <f>A131+1</f>
        <v>16</v>
      </c>
      <c r="B136" s="275" t="s">
        <v>44</v>
      </c>
      <c r="C136" s="281" t="s">
        <v>52</v>
      </c>
      <c r="D136" s="45" t="s">
        <v>30</v>
      </c>
      <c r="E136" s="262">
        <v>44.7</v>
      </c>
      <c r="I136" s="46"/>
      <c r="K136" s="47"/>
      <c r="L136" s="64"/>
      <c r="M136" s="65"/>
      <c r="N136" s="66"/>
      <c r="O136" s="67"/>
      <c r="P136" s="33"/>
      <c r="Q136" s="68"/>
      <c r="R136" s="42">
        <f>G137+J137</f>
        <v>0</v>
      </c>
      <c r="S136" s="283">
        <f>(R136+R137)*U136</f>
        <v>0</v>
      </c>
      <c r="T136" s="285">
        <f>E136*S136</f>
        <v>0</v>
      </c>
      <c r="U136" s="285"/>
      <c r="V136" s="70"/>
    </row>
    <row r="137" spans="1:22" ht="12.75" customHeight="1">
      <c r="A137" s="44"/>
      <c r="B137" s="275"/>
      <c r="C137" s="282"/>
      <c r="E137" s="262"/>
      <c r="G137" s="34">
        <f>G136*$J$13/1000</f>
        <v>0</v>
      </c>
      <c r="I137" s="46"/>
      <c r="J137" s="34">
        <f>J136*$Q$13/1000</f>
        <v>0</v>
      </c>
      <c r="K137" s="47"/>
      <c r="L137" s="299" t="s">
        <v>53</v>
      </c>
      <c r="M137" s="71" t="s">
        <v>30</v>
      </c>
      <c r="N137" s="72">
        <v>1</v>
      </c>
      <c r="O137" s="72">
        <f>E136*N137</f>
        <v>44.7</v>
      </c>
      <c r="P137" s="73">
        <v>0.64800000000000002</v>
      </c>
      <c r="Q137" s="74">
        <f>N137*P137*$N$11</f>
        <v>0.73960432560000022</v>
      </c>
      <c r="R137" s="283">
        <f>SUM(Q137:Q139)</f>
        <v>0.73960432560000022</v>
      </c>
      <c r="S137" s="284"/>
      <c r="T137" s="286"/>
      <c r="U137" s="286"/>
      <c r="V137" s="70"/>
    </row>
    <row r="138" spans="1:22" ht="2.25" customHeight="1">
      <c r="A138" s="44"/>
      <c r="C138" s="282"/>
      <c r="E138" s="262"/>
      <c r="I138" s="46"/>
      <c r="K138" s="47"/>
      <c r="L138" s="300"/>
      <c r="M138" s="75"/>
      <c r="N138" s="76"/>
      <c r="O138" s="77"/>
      <c r="P138" s="78"/>
      <c r="Q138" s="79"/>
      <c r="R138" s="284"/>
      <c r="S138" s="284"/>
      <c r="T138" s="286"/>
      <c r="U138" s="286"/>
      <c r="V138" s="70"/>
    </row>
    <row r="139" spans="1:22" ht="12.75" hidden="1" customHeight="1">
      <c r="A139" s="44"/>
      <c r="C139" s="282"/>
      <c r="E139" s="262"/>
      <c r="I139" s="46"/>
      <c r="K139" s="47"/>
      <c r="L139" s="268"/>
      <c r="M139" s="106"/>
      <c r="N139" s="107"/>
      <c r="O139" s="107"/>
      <c r="P139" s="108"/>
      <c r="Q139" s="109"/>
      <c r="R139" s="284"/>
      <c r="S139" s="284"/>
      <c r="T139" s="286"/>
      <c r="U139" s="286"/>
      <c r="V139" s="70"/>
    </row>
    <row r="140" spans="1:22" ht="12.75" customHeight="1">
      <c r="A140" s="50"/>
      <c r="B140" s="51"/>
      <c r="C140" s="52"/>
      <c r="D140" s="53"/>
      <c r="E140" s="267"/>
      <c r="F140" s="54"/>
      <c r="G140" s="55"/>
      <c r="H140" s="54"/>
      <c r="I140" s="56"/>
      <c r="J140" s="55"/>
      <c r="K140" s="57"/>
      <c r="Q140" s="48"/>
      <c r="R140" s="262"/>
      <c r="S140" s="262"/>
      <c r="T140" s="49"/>
      <c r="U140" s="49"/>
      <c r="V140" s="70"/>
    </row>
    <row r="141" spans="1:22" ht="12.75" customHeight="1">
      <c r="A141" s="31">
        <f>A131+1</f>
        <v>16</v>
      </c>
      <c r="B141" s="275" t="s">
        <v>36</v>
      </c>
      <c r="C141" s="281" t="s">
        <v>131</v>
      </c>
      <c r="D141" s="45" t="s">
        <v>28</v>
      </c>
      <c r="E141" s="262">
        <v>42</v>
      </c>
      <c r="G141" s="2">
        <v>0.45800000000000002</v>
      </c>
      <c r="I141" s="46"/>
      <c r="J141" s="2">
        <v>4.1000000000000064E-3</v>
      </c>
      <c r="K141" s="47"/>
      <c r="L141" s="64"/>
      <c r="M141" s="65"/>
      <c r="N141" s="66"/>
      <c r="O141" s="67"/>
      <c r="P141" s="33"/>
      <c r="Q141" s="68"/>
      <c r="R141" s="42">
        <f>G142+J142</f>
        <v>0.88169778100000007</v>
      </c>
      <c r="S141" s="283">
        <f>(R141+R142)*U141</f>
        <v>0</v>
      </c>
      <c r="T141" s="285">
        <f>E141*S141</f>
        <v>0</v>
      </c>
      <c r="U141" s="285"/>
      <c r="V141" s="70"/>
    </row>
    <row r="142" spans="1:22" ht="12.75" customHeight="1">
      <c r="A142" s="44"/>
      <c r="B142" s="275" t="s">
        <v>37</v>
      </c>
      <c r="C142" s="282"/>
      <c r="E142" s="262"/>
      <c r="G142" s="34">
        <f>G141*$J$13/1000</f>
        <v>0.8710656200000001</v>
      </c>
      <c r="I142" s="46"/>
      <c r="J142" s="34">
        <f>J141*$Q$13/1000</f>
        <v>1.0632161000000017E-2</v>
      </c>
      <c r="K142" s="47"/>
      <c r="L142" s="287" t="s">
        <v>95</v>
      </c>
      <c r="M142" s="71" t="s">
        <v>28</v>
      </c>
      <c r="N142" s="146">
        <v>1.0249999999999999</v>
      </c>
      <c r="O142" s="72">
        <f>E141*N142</f>
        <v>43.05</v>
      </c>
      <c r="P142" s="140">
        <v>2.0960000000000001</v>
      </c>
      <c r="Q142" s="74">
        <f>N142*P142*$N$11</f>
        <v>2.4521079214800006</v>
      </c>
      <c r="R142" s="262">
        <f>SUM(Q142:Q142)</f>
        <v>2.4521079214800006</v>
      </c>
      <c r="S142" s="284"/>
      <c r="T142" s="286"/>
      <c r="U142" s="286"/>
      <c r="V142" s="70"/>
    </row>
    <row r="143" spans="1:22" ht="2.25" customHeight="1">
      <c r="A143" s="44"/>
      <c r="C143" s="282"/>
      <c r="E143" s="262"/>
      <c r="I143" s="46"/>
      <c r="K143" s="47"/>
      <c r="L143" s="288"/>
      <c r="M143" s="80"/>
      <c r="N143" s="81"/>
      <c r="O143" s="82"/>
      <c r="P143" s="83"/>
      <c r="Q143" s="84"/>
      <c r="R143" s="262"/>
      <c r="S143" s="262"/>
      <c r="T143" s="49"/>
      <c r="U143" s="49"/>
      <c r="V143" s="70"/>
    </row>
    <row r="144" spans="1:22" ht="12.75" customHeight="1">
      <c r="A144" s="50"/>
      <c r="B144" s="51"/>
      <c r="C144" s="52"/>
      <c r="D144" s="53"/>
      <c r="E144" s="267"/>
      <c r="F144" s="54"/>
      <c r="G144" s="55"/>
      <c r="H144" s="54"/>
      <c r="I144" s="56"/>
      <c r="J144" s="55"/>
      <c r="K144" s="57"/>
      <c r="Q144" s="48"/>
      <c r="R144" s="262"/>
      <c r="S144" s="262"/>
      <c r="T144" s="49"/>
      <c r="U144" s="49"/>
      <c r="V144" s="70"/>
    </row>
    <row r="145" spans="1:22" ht="12.75" customHeight="1">
      <c r="A145" s="63">
        <f>A136+1</f>
        <v>17</v>
      </c>
      <c r="B145" s="274" t="s">
        <v>68</v>
      </c>
      <c r="C145" s="281" t="s">
        <v>99</v>
      </c>
      <c r="D145" s="32" t="s">
        <v>65</v>
      </c>
      <c r="E145" s="162">
        <f>E153/100</f>
        <v>1.0640000000000001</v>
      </c>
      <c r="F145" s="33"/>
      <c r="G145" s="34">
        <f>6.2</f>
        <v>6.2</v>
      </c>
      <c r="H145" s="33"/>
      <c r="I145" s="35"/>
      <c r="J145" s="34">
        <f>0.38</f>
        <v>0.38</v>
      </c>
      <c r="K145" s="36"/>
      <c r="L145" s="64"/>
      <c r="M145" s="65"/>
      <c r="N145" s="66"/>
      <c r="O145" s="67"/>
      <c r="P145" s="33"/>
      <c r="Q145" s="68"/>
      <c r="R145" s="42">
        <f>G146+J146</f>
        <v>12.777137800000002</v>
      </c>
      <c r="S145" s="283">
        <f>(R145+R146)*U145</f>
        <v>0</v>
      </c>
      <c r="T145" s="285">
        <f>E145*S145</f>
        <v>0</v>
      </c>
      <c r="U145" s="285"/>
      <c r="V145" s="70"/>
    </row>
    <row r="146" spans="1:22" ht="12" customHeight="1">
      <c r="A146" s="44"/>
      <c r="B146" s="275"/>
      <c r="C146" s="282"/>
      <c r="E146" s="262"/>
      <c r="G146" s="34">
        <f>G145*$J$13/1000</f>
        <v>11.791718000000001</v>
      </c>
      <c r="I146" s="46"/>
      <c r="J146" s="34">
        <f>J145*$Q$13/1000</f>
        <v>0.98541979999999996</v>
      </c>
      <c r="K146" s="47"/>
      <c r="L146" s="287"/>
      <c r="M146" s="71"/>
      <c r="N146" s="72"/>
      <c r="O146" s="72"/>
      <c r="P146" s="73"/>
      <c r="Q146" s="74"/>
      <c r="R146" s="283">
        <f>SUM(Q146:Q147)</f>
        <v>0</v>
      </c>
      <c r="S146" s="284"/>
      <c r="T146" s="286"/>
      <c r="U146" s="286"/>
      <c r="V146" s="70"/>
    </row>
    <row r="147" spans="1:22" ht="12.75" hidden="1" customHeight="1">
      <c r="A147" s="44"/>
      <c r="C147" s="282"/>
      <c r="E147" s="262"/>
      <c r="I147" s="46"/>
      <c r="K147" s="47"/>
      <c r="L147" s="301"/>
      <c r="M147" s="75"/>
      <c r="N147" s="76"/>
      <c r="O147" s="77"/>
      <c r="P147" s="78"/>
      <c r="Q147" s="79"/>
      <c r="R147" s="284"/>
      <c r="S147" s="284"/>
      <c r="T147" s="286"/>
      <c r="U147" s="286"/>
      <c r="V147" s="70"/>
    </row>
    <row r="148" spans="1:22" ht="13.5" customHeight="1">
      <c r="A148" s="50"/>
      <c r="B148" s="51"/>
      <c r="C148" s="52"/>
      <c r="D148" s="53"/>
      <c r="E148" s="267"/>
      <c r="F148" s="54"/>
      <c r="G148" s="55"/>
      <c r="H148" s="54"/>
      <c r="I148" s="56"/>
      <c r="J148" s="55"/>
      <c r="K148" s="57"/>
      <c r="L148" s="58"/>
      <c r="M148" s="59"/>
      <c r="N148" s="60"/>
      <c r="O148" s="85"/>
      <c r="P148" s="54"/>
      <c r="Q148" s="61"/>
      <c r="R148" s="267"/>
      <c r="S148" s="267"/>
      <c r="T148" s="62"/>
      <c r="U148" s="62"/>
      <c r="V148" s="70"/>
    </row>
    <row r="149" spans="1:22" ht="12.75" customHeight="1">
      <c r="A149" s="31">
        <f>A145+1</f>
        <v>18</v>
      </c>
      <c r="B149" s="275" t="s">
        <v>44</v>
      </c>
      <c r="C149" s="281" t="s">
        <v>100</v>
      </c>
      <c r="D149" s="45" t="s">
        <v>30</v>
      </c>
      <c r="E149" s="262">
        <v>71.900000000000006</v>
      </c>
      <c r="I149" s="46"/>
      <c r="K149" s="47"/>
      <c r="L149" s="64"/>
      <c r="M149" s="65"/>
      <c r="N149" s="66"/>
      <c r="O149" s="67"/>
      <c r="P149" s="33"/>
      <c r="Q149" s="68"/>
      <c r="R149" s="42">
        <f>G150+J150</f>
        <v>0</v>
      </c>
      <c r="S149" s="283">
        <f>(R149+R150)*U149</f>
        <v>0</v>
      </c>
      <c r="T149" s="285">
        <f>E149*S149</f>
        <v>0</v>
      </c>
      <c r="U149" s="285"/>
      <c r="V149" s="70"/>
    </row>
    <row r="150" spans="1:22" ht="12.75" customHeight="1">
      <c r="A150" s="44"/>
      <c r="B150" s="275"/>
      <c r="C150" s="282"/>
      <c r="E150" s="262"/>
      <c r="G150" s="34">
        <f>G149*$J$13/1000</f>
        <v>0</v>
      </c>
      <c r="I150" s="46"/>
      <c r="J150" s="34">
        <f>J149*$Q$13/1000</f>
        <v>0</v>
      </c>
      <c r="K150" s="47"/>
      <c r="L150" s="287" t="s">
        <v>101</v>
      </c>
      <c r="M150" s="71" t="s">
        <v>30</v>
      </c>
      <c r="N150" s="72">
        <v>1</v>
      </c>
      <c r="O150" s="72">
        <f>E149*N150</f>
        <v>71.900000000000006</v>
      </c>
      <c r="P150" s="140">
        <v>0.67500000000000004</v>
      </c>
      <c r="Q150" s="74">
        <f>N150*P150*$N$11</f>
        <v>0.7704211725000002</v>
      </c>
      <c r="R150" s="262">
        <f>SUM(Q150:Q150)</f>
        <v>0.7704211725000002</v>
      </c>
      <c r="S150" s="284"/>
      <c r="T150" s="286"/>
      <c r="U150" s="286"/>
      <c r="V150" s="70"/>
    </row>
    <row r="151" spans="1:22" ht="9" hidden="1" customHeight="1">
      <c r="A151" s="44"/>
      <c r="C151" s="282"/>
      <c r="E151" s="262"/>
      <c r="I151" s="46"/>
      <c r="K151" s="47"/>
      <c r="L151" s="288"/>
      <c r="M151" s="80"/>
      <c r="N151" s="81"/>
      <c r="O151" s="82"/>
      <c r="P151" s="171"/>
      <c r="Q151" s="84"/>
      <c r="R151" s="262"/>
      <c r="S151" s="262"/>
      <c r="T151" s="49"/>
      <c r="U151" s="49"/>
      <c r="V151" s="70"/>
    </row>
    <row r="152" spans="1:22" ht="12.75" customHeight="1">
      <c r="A152" s="50"/>
      <c r="B152" s="51"/>
      <c r="C152" s="52"/>
      <c r="D152" s="53"/>
      <c r="E152" s="267"/>
      <c r="F152" s="54"/>
      <c r="G152" s="55"/>
      <c r="H152" s="54"/>
      <c r="I152" s="56"/>
      <c r="J152" s="55"/>
      <c r="K152" s="57"/>
      <c r="P152" s="172"/>
      <c r="Q152" s="48"/>
      <c r="R152" s="262"/>
      <c r="S152" s="262"/>
      <c r="T152" s="49"/>
      <c r="U152" s="49"/>
      <c r="V152" s="70"/>
    </row>
    <row r="153" spans="1:22" ht="12.75" customHeight="1">
      <c r="A153" s="31">
        <f>A149+1</f>
        <v>19</v>
      </c>
      <c r="B153" s="275" t="s">
        <v>44</v>
      </c>
      <c r="C153" s="281" t="s">
        <v>102</v>
      </c>
      <c r="D153" s="45" t="s">
        <v>30</v>
      </c>
      <c r="E153" s="262">
        <v>106.4</v>
      </c>
      <c r="I153" s="46"/>
      <c r="K153" s="47"/>
      <c r="L153" s="64"/>
      <c r="M153" s="65"/>
      <c r="N153" s="66"/>
      <c r="O153" s="67"/>
      <c r="P153" s="165"/>
      <c r="Q153" s="68"/>
      <c r="R153" s="42">
        <f>G154+J154</f>
        <v>0</v>
      </c>
      <c r="S153" s="283">
        <f>(R153+R154)*U153</f>
        <v>0</v>
      </c>
      <c r="T153" s="285">
        <f>E153*S153</f>
        <v>0</v>
      </c>
      <c r="U153" s="285"/>
      <c r="V153" s="70"/>
    </row>
    <row r="154" spans="1:22" ht="12" customHeight="1">
      <c r="A154" s="44"/>
      <c r="B154" s="275"/>
      <c r="C154" s="282"/>
      <c r="E154" s="262"/>
      <c r="G154" s="34">
        <f>G153*$J$13/1000</f>
        <v>0</v>
      </c>
      <c r="I154" s="46"/>
      <c r="J154" s="34">
        <f>J153*$Q$13/1000</f>
        <v>0</v>
      </c>
      <c r="K154" s="47"/>
      <c r="L154" s="287" t="s">
        <v>102</v>
      </c>
      <c r="M154" s="71" t="s">
        <v>30</v>
      </c>
      <c r="N154" s="72">
        <v>1</v>
      </c>
      <c r="O154" s="72">
        <f>E153*N154</f>
        <v>106.4</v>
      </c>
      <c r="P154" s="140">
        <v>0.45200000000000001</v>
      </c>
      <c r="Q154" s="74">
        <f>N154*P154*$N$11</f>
        <v>0.51589684440000017</v>
      </c>
      <c r="R154" s="262">
        <f>SUM(Q154:Q154)</f>
        <v>0.51589684440000017</v>
      </c>
      <c r="S154" s="284"/>
      <c r="T154" s="286"/>
      <c r="U154" s="286"/>
      <c r="V154" s="70"/>
    </row>
    <row r="155" spans="1:22" ht="18.75" hidden="1" customHeight="1">
      <c r="A155" s="44"/>
      <c r="C155" s="282"/>
      <c r="E155" s="262"/>
      <c r="I155" s="46"/>
      <c r="K155" s="47"/>
      <c r="L155" s="288"/>
      <c r="M155" s="80"/>
      <c r="N155" s="81"/>
      <c r="O155" s="82"/>
      <c r="P155" s="171"/>
      <c r="Q155" s="84"/>
      <c r="R155" s="262"/>
      <c r="S155" s="262"/>
      <c r="T155" s="49"/>
      <c r="U155" s="49"/>
      <c r="V155" s="70"/>
    </row>
    <row r="156" spans="1:22" ht="12.75" customHeight="1">
      <c r="A156" s="50"/>
      <c r="B156" s="51"/>
      <c r="C156" s="52"/>
      <c r="D156" s="53"/>
      <c r="E156" s="267"/>
      <c r="F156" s="54"/>
      <c r="G156" s="55"/>
      <c r="H156" s="54"/>
      <c r="I156" s="56"/>
      <c r="J156" s="55"/>
      <c r="K156" s="57"/>
      <c r="P156" s="172"/>
      <c r="Q156" s="48"/>
      <c r="R156" s="262"/>
      <c r="S156" s="262"/>
      <c r="T156" s="49"/>
      <c r="U156" s="49"/>
      <c r="V156" s="70"/>
    </row>
    <row r="157" spans="1:22" ht="12.75" customHeight="1">
      <c r="A157" s="31">
        <f>A153+1</f>
        <v>20</v>
      </c>
      <c r="B157" s="275" t="s">
        <v>44</v>
      </c>
      <c r="C157" s="281" t="s">
        <v>103</v>
      </c>
      <c r="D157" s="45" t="s">
        <v>30</v>
      </c>
      <c r="E157" s="262">
        <v>106.4</v>
      </c>
      <c r="I157" s="46"/>
      <c r="K157" s="47"/>
      <c r="L157" s="64"/>
      <c r="M157" s="65"/>
      <c r="N157" s="66"/>
      <c r="O157" s="67"/>
      <c r="P157" s="165"/>
      <c r="Q157" s="68"/>
      <c r="R157" s="42">
        <f>G158+J158</f>
        <v>0</v>
      </c>
      <c r="S157" s="283">
        <f>(R157+R158)*U157</f>
        <v>0</v>
      </c>
      <c r="T157" s="285">
        <f>E157*S157</f>
        <v>0</v>
      </c>
      <c r="U157" s="285"/>
      <c r="V157" s="70"/>
    </row>
    <row r="158" spans="1:22" ht="12.75" customHeight="1">
      <c r="A158" s="44"/>
      <c r="B158" s="275"/>
      <c r="C158" s="282"/>
      <c r="E158" s="262"/>
      <c r="G158" s="34">
        <f>G157*$J$13/1000</f>
        <v>0</v>
      </c>
      <c r="I158" s="46"/>
      <c r="J158" s="34">
        <f>J157*$Q$13/1000</f>
        <v>0</v>
      </c>
      <c r="K158" s="47"/>
      <c r="L158" s="287" t="s">
        <v>103</v>
      </c>
      <c r="M158" s="71" t="s">
        <v>30</v>
      </c>
      <c r="N158" s="72">
        <v>1</v>
      </c>
      <c r="O158" s="72">
        <f>E157*N158</f>
        <v>106.4</v>
      </c>
      <c r="P158" s="140">
        <v>0.46100000000000002</v>
      </c>
      <c r="Q158" s="74">
        <f>N158*P158*$N$11</f>
        <v>0.52616912670000016</v>
      </c>
      <c r="R158" s="262">
        <f>SUM(Q158:Q158)</f>
        <v>0.52616912670000016</v>
      </c>
      <c r="S158" s="284"/>
      <c r="T158" s="286"/>
      <c r="U158" s="286"/>
      <c r="V158" s="70"/>
    </row>
    <row r="159" spans="1:22" ht="18.75" hidden="1" customHeight="1">
      <c r="A159" s="44"/>
      <c r="C159" s="282"/>
      <c r="E159" s="262"/>
      <c r="I159" s="46"/>
      <c r="K159" s="47"/>
      <c r="L159" s="288"/>
      <c r="M159" s="80"/>
      <c r="N159" s="81"/>
      <c r="O159" s="82"/>
      <c r="P159" s="83"/>
      <c r="Q159" s="84"/>
      <c r="R159" s="262"/>
      <c r="S159" s="262"/>
      <c r="T159" s="49"/>
      <c r="U159" s="49"/>
      <c r="V159" s="70"/>
    </row>
    <row r="160" spans="1:22" ht="12.75" customHeight="1">
      <c r="A160" s="50"/>
      <c r="B160" s="51"/>
      <c r="C160" s="52"/>
      <c r="D160" s="53"/>
      <c r="E160" s="267"/>
      <c r="F160" s="54"/>
      <c r="G160" s="55"/>
      <c r="H160" s="54"/>
      <c r="I160" s="56"/>
      <c r="J160" s="55"/>
      <c r="K160" s="57"/>
      <c r="Q160" s="48"/>
      <c r="R160" s="262"/>
      <c r="S160" s="262"/>
      <c r="T160" s="49"/>
      <c r="U160" s="49"/>
      <c r="V160" s="70"/>
    </row>
    <row r="161" spans="1:22" ht="12.75" customHeight="1">
      <c r="A161" s="31">
        <f>A157+1</f>
        <v>21</v>
      </c>
      <c r="B161" s="274" t="s">
        <v>58</v>
      </c>
      <c r="C161" s="281" t="s">
        <v>62</v>
      </c>
      <c r="D161" s="45" t="s">
        <v>28</v>
      </c>
      <c r="E161" s="262">
        <v>21.6</v>
      </c>
      <c r="G161" s="169">
        <f>38.4/100</f>
        <v>0.38400000000000001</v>
      </c>
      <c r="I161" s="46"/>
      <c r="J161" s="2">
        <f>0.03/100</f>
        <v>2.9999999999999997E-4</v>
      </c>
      <c r="K161" s="47"/>
      <c r="L161" s="64"/>
      <c r="M161" s="65"/>
      <c r="N161" s="66"/>
      <c r="O161" s="67"/>
      <c r="P161" s="33"/>
      <c r="Q161" s="68"/>
      <c r="R161" s="42">
        <f>G162+J162</f>
        <v>0.73110372300000004</v>
      </c>
      <c r="S161" s="283">
        <f>(R161+R162)*U161</f>
        <v>0</v>
      </c>
      <c r="T161" s="285">
        <f>E161*S161</f>
        <v>0</v>
      </c>
      <c r="U161" s="285"/>
      <c r="V161" s="70"/>
    </row>
    <row r="162" spans="1:22" ht="12" customHeight="1">
      <c r="A162" s="44"/>
      <c r="B162" s="275"/>
      <c r="C162" s="282"/>
      <c r="E162" s="262"/>
      <c r="G162" s="34">
        <f>G161*$J$13/1000</f>
        <v>0.73032576000000005</v>
      </c>
      <c r="I162" s="46"/>
      <c r="J162" s="34">
        <f>J161*$Q$13/1000</f>
        <v>7.7796300000000001E-4</v>
      </c>
      <c r="K162" s="47"/>
      <c r="L162" s="299" t="s">
        <v>61</v>
      </c>
      <c r="M162" s="71" t="s">
        <v>29</v>
      </c>
      <c r="N162" s="72">
        <f>(24.4+0.2+2.7)/100</f>
        <v>0.27299999999999996</v>
      </c>
      <c r="O162" s="72">
        <f>E161*N162</f>
        <v>5.8967999999999998</v>
      </c>
      <c r="P162" s="140">
        <v>0.97799999999999998</v>
      </c>
      <c r="Q162" s="74">
        <f>N162*P162*$N$11</f>
        <v>0.30473752671179999</v>
      </c>
      <c r="R162" s="283">
        <f>SUM(Q162:Q164)</f>
        <v>0.30473752671179999</v>
      </c>
      <c r="S162" s="284"/>
      <c r="T162" s="286"/>
      <c r="U162" s="286"/>
      <c r="V162" s="70"/>
    </row>
    <row r="163" spans="1:22" ht="12.75" hidden="1" customHeight="1">
      <c r="A163" s="44"/>
      <c r="C163" s="282"/>
      <c r="E163" s="262"/>
      <c r="I163" s="46"/>
      <c r="K163" s="47"/>
      <c r="L163" s="300"/>
      <c r="M163" s="75"/>
      <c r="N163" s="76"/>
      <c r="O163" s="77"/>
      <c r="P163" s="78"/>
      <c r="Q163" s="79"/>
      <c r="R163" s="284"/>
      <c r="S163" s="284"/>
      <c r="T163" s="286"/>
      <c r="U163" s="286"/>
      <c r="V163" s="70"/>
    </row>
    <row r="164" spans="1:22" ht="12.75" hidden="1" customHeight="1">
      <c r="A164" s="44"/>
      <c r="C164" s="282"/>
      <c r="E164" s="262"/>
      <c r="I164" s="46"/>
      <c r="K164" s="47"/>
      <c r="L164" s="268"/>
      <c r="M164" s="106"/>
      <c r="N164" s="107"/>
      <c r="O164" s="107"/>
      <c r="P164" s="108"/>
      <c r="Q164" s="109"/>
      <c r="R164" s="284"/>
      <c r="S164" s="284"/>
      <c r="T164" s="286"/>
      <c r="U164" s="286"/>
      <c r="V164" s="70"/>
    </row>
    <row r="165" spans="1:22" ht="12.75" customHeight="1">
      <c r="A165" s="50"/>
      <c r="B165" s="51"/>
      <c r="C165" s="52"/>
      <c r="D165" s="53"/>
      <c r="E165" s="267"/>
      <c r="F165" s="54"/>
      <c r="G165" s="55"/>
      <c r="H165" s="54"/>
      <c r="I165" s="56"/>
      <c r="J165" s="55"/>
      <c r="K165" s="57"/>
      <c r="Q165" s="48"/>
      <c r="R165" s="262"/>
      <c r="S165" s="262"/>
      <c r="T165" s="49"/>
      <c r="U165" s="49"/>
      <c r="V165" s="70"/>
    </row>
    <row r="166" spans="1:22" ht="12.75" customHeight="1">
      <c r="A166" s="63">
        <f>A161+1</f>
        <v>22</v>
      </c>
      <c r="B166" s="275" t="s">
        <v>54</v>
      </c>
      <c r="C166" s="281" t="s">
        <v>104</v>
      </c>
      <c r="D166" s="32" t="s">
        <v>24</v>
      </c>
      <c r="E166" s="261">
        <f>4*1.2</f>
        <v>4.8</v>
      </c>
      <c r="F166" s="33"/>
      <c r="G166" s="34">
        <v>7.63</v>
      </c>
      <c r="H166" s="33"/>
      <c r="I166" s="35"/>
      <c r="J166" s="34">
        <v>1.43</v>
      </c>
      <c r="K166" s="36"/>
      <c r="L166" s="64"/>
      <c r="M166" s="65"/>
      <c r="N166" s="66"/>
      <c r="O166" s="67"/>
      <c r="P166" s="33"/>
      <c r="Q166" s="68"/>
      <c r="R166" s="42">
        <f>G167+J167</f>
        <v>18.219711</v>
      </c>
      <c r="S166" s="283">
        <f>(R166+R167)*U166</f>
        <v>0</v>
      </c>
      <c r="T166" s="285">
        <f>E166*S166</f>
        <v>0</v>
      </c>
      <c r="U166" s="285"/>
      <c r="V166" s="70"/>
    </row>
    <row r="167" spans="1:22" ht="12.75" customHeight="1">
      <c r="A167" s="44"/>
      <c r="C167" s="282"/>
      <c r="E167" s="262"/>
      <c r="G167" s="34">
        <f>G166*$J$13/1000</f>
        <v>14.5114207</v>
      </c>
      <c r="I167" s="46"/>
      <c r="J167" s="34">
        <f>J166*$Q$13/1000</f>
        <v>3.7082903000000003</v>
      </c>
      <c r="K167" s="47"/>
      <c r="L167" s="265" t="s">
        <v>55</v>
      </c>
      <c r="M167" s="71" t="s">
        <v>24</v>
      </c>
      <c r="N167" s="72">
        <v>1.0149999999999999</v>
      </c>
      <c r="O167" s="72">
        <f>E166*N167</f>
        <v>4.871999999999999</v>
      </c>
      <c r="P167" s="73">
        <v>29</v>
      </c>
      <c r="Q167" s="74">
        <f>N167*P167*$N$11</f>
        <v>33.596069944500009</v>
      </c>
      <c r="R167" s="283">
        <f>SUM(Q167:Q171)</f>
        <v>56.063647565008033</v>
      </c>
      <c r="S167" s="284"/>
      <c r="T167" s="286"/>
      <c r="U167" s="286"/>
      <c r="V167" s="70"/>
    </row>
    <row r="168" spans="1:22" ht="12.75" hidden="1" customHeight="1">
      <c r="A168" s="44"/>
      <c r="C168" s="282"/>
      <c r="E168" s="262"/>
      <c r="I168" s="46"/>
      <c r="K168" s="47"/>
      <c r="L168" s="268" t="s">
        <v>56</v>
      </c>
      <c r="M168" s="106" t="s">
        <v>28</v>
      </c>
      <c r="N168" s="107">
        <v>2.64</v>
      </c>
      <c r="O168" s="107">
        <f>E166*N168</f>
        <v>12.672000000000001</v>
      </c>
      <c r="P168" s="108">
        <v>3.5</v>
      </c>
      <c r="Q168" s="109">
        <f>N168*P168*$N$11</f>
        <v>10.546209828000002</v>
      </c>
      <c r="R168" s="284"/>
      <c r="S168" s="284"/>
      <c r="T168" s="286"/>
      <c r="U168" s="286"/>
      <c r="V168" s="70"/>
    </row>
    <row r="169" spans="1:22" ht="12.75" hidden="1" customHeight="1">
      <c r="A169" s="44"/>
      <c r="C169" s="282"/>
      <c r="E169" s="262"/>
      <c r="I169" s="46"/>
      <c r="K169" s="47"/>
      <c r="L169" s="268" t="s">
        <v>43</v>
      </c>
      <c r="M169" s="106" t="s">
        <v>29</v>
      </c>
      <c r="N169" s="107">
        <v>3.2</v>
      </c>
      <c r="O169" s="107">
        <f>E166*N169</f>
        <v>15.36</v>
      </c>
      <c r="P169" s="164">
        <v>0.96699999999999997</v>
      </c>
      <c r="Q169" s="109">
        <f t="shared" ref="Q169:Q170" si="1">N169*P169*$N$11</f>
        <v>3.5318389276800009</v>
      </c>
      <c r="R169" s="284"/>
      <c r="S169" s="284"/>
      <c r="T169" s="286"/>
      <c r="U169" s="286"/>
      <c r="V169" s="70"/>
    </row>
    <row r="170" spans="1:22" ht="12.75" hidden="1" customHeight="1">
      <c r="A170" s="44"/>
      <c r="C170" s="282"/>
      <c r="E170" s="262"/>
      <c r="I170" s="46"/>
      <c r="K170" s="47"/>
      <c r="L170" s="268" t="s">
        <v>57</v>
      </c>
      <c r="M170" s="106" t="s">
        <v>24</v>
      </c>
      <c r="N170" s="107">
        <f>0.0049+0.0549</f>
        <v>5.9799999999999999E-2</v>
      </c>
      <c r="O170" s="107">
        <f>E166*N170</f>
        <v>0.28703999999999996</v>
      </c>
      <c r="P170" s="164">
        <v>122.917</v>
      </c>
      <c r="Q170" s="109">
        <f t="shared" si="1"/>
        <v>8.3895288648280211</v>
      </c>
      <c r="R170" s="284"/>
      <c r="S170" s="284"/>
      <c r="T170" s="286"/>
      <c r="U170" s="286"/>
      <c r="V170" s="70"/>
    </row>
    <row r="171" spans="1:22" ht="12.75" customHeight="1">
      <c r="A171" s="50"/>
      <c r="B171" s="51"/>
      <c r="C171" s="289"/>
      <c r="D171" s="53"/>
      <c r="E171" s="267"/>
      <c r="F171" s="54"/>
      <c r="G171" s="55"/>
      <c r="H171" s="54"/>
      <c r="I171" s="56"/>
      <c r="J171" s="55"/>
      <c r="K171" s="57"/>
      <c r="L171" s="147"/>
      <c r="M171" s="148"/>
      <c r="N171" s="149"/>
      <c r="O171" s="149"/>
      <c r="P171" s="150"/>
      <c r="Q171" s="151"/>
      <c r="R171" s="290"/>
      <c r="S171" s="290"/>
      <c r="T171" s="286"/>
      <c r="U171" s="286"/>
      <c r="V171" s="70"/>
    </row>
    <row r="172" spans="1:22" ht="12.75" customHeight="1">
      <c r="A172" s="31">
        <f>A166+1</f>
        <v>23</v>
      </c>
      <c r="B172" s="275" t="s">
        <v>44</v>
      </c>
      <c r="C172" s="281" t="s">
        <v>106</v>
      </c>
      <c r="D172" s="45" t="s">
        <v>26</v>
      </c>
      <c r="E172" s="262">
        <f>25.9/1000*4</f>
        <v>0.1036</v>
      </c>
      <c r="I172" s="46"/>
      <c r="K172" s="47"/>
      <c r="L172" s="64"/>
      <c r="M172" s="65"/>
      <c r="N172" s="66"/>
      <c r="O172" s="67"/>
      <c r="P172" s="33"/>
      <c r="Q172" s="68"/>
      <c r="R172" s="42">
        <f>G173+J173</f>
        <v>0</v>
      </c>
      <c r="S172" s="283">
        <f>(R172+R173)*U172</f>
        <v>0</v>
      </c>
      <c r="T172" s="285">
        <f>E172*S172</f>
        <v>0</v>
      </c>
      <c r="U172" s="285"/>
      <c r="V172" s="70"/>
    </row>
    <row r="173" spans="1:22" ht="12.75" customHeight="1">
      <c r="A173" s="44"/>
      <c r="B173" s="275"/>
      <c r="C173" s="282"/>
      <c r="E173" s="262"/>
      <c r="G173" s="34">
        <f>G172*$J$13/1000</f>
        <v>0</v>
      </c>
      <c r="I173" s="46"/>
      <c r="J173" s="34">
        <f>J172*$Q$13/1000</f>
        <v>0</v>
      </c>
      <c r="K173" s="47"/>
      <c r="L173" s="287" t="s">
        <v>106</v>
      </c>
      <c r="M173" s="71" t="s">
        <v>26</v>
      </c>
      <c r="N173" s="72">
        <v>1</v>
      </c>
      <c r="O173" s="72">
        <f>E172*N173</f>
        <v>0.1036</v>
      </c>
      <c r="P173" s="73">
        <v>315</v>
      </c>
      <c r="Q173" s="74">
        <f>N173*P173*$N$11</f>
        <v>359.52988050000005</v>
      </c>
      <c r="R173" s="262">
        <f>SUM(Q173:Q173)</f>
        <v>359.52988050000005</v>
      </c>
      <c r="S173" s="284"/>
      <c r="T173" s="286"/>
      <c r="U173" s="286"/>
      <c r="V173" s="70"/>
    </row>
    <row r="174" spans="1:22" ht="18.75" hidden="1" customHeight="1">
      <c r="A174" s="44"/>
      <c r="C174" s="282"/>
      <c r="E174" s="262"/>
      <c r="I174" s="46"/>
      <c r="K174" s="47"/>
      <c r="L174" s="288"/>
      <c r="M174" s="80"/>
      <c r="N174" s="81"/>
      <c r="O174" s="82"/>
      <c r="P174" s="83"/>
      <c r="Q174" s="84"/>
      <c r="R174" s="262"/>
      <c r="S174" s="262"/>
      <c r="T174" s="49"/>
      <c r="U174" s="49"/>
      <c r="V174" s="70"/>
    </row>
    <row r="175" spans="1:22" ht="12.75" customHeight="1">
      <c r="A175" s="50"/>
      <c r="B175" s="51"/>
      <c r="C175" s="52"/>
      <c r="D175" s="53"/>
      <c r="E175" s="267"/>
      <c r="F175" s="54"/>
      <c r="G175" s="55"/>
      <c r="H175" s="54"/>
      <c r="I175" s="56"/>
      <c r="J175" s="55"/>
      <c r="K175" s="57"/>
      <c r="Q175" s="48"/>
      <c r="R175" s="262"/>
      <c r="S175" s="262"/>
      <c r="T175" s="49"/>
      <c r="U175" s="49"/>
      <c r="V175" s="70"/>
    </row>
    <row r="176" spans="1:22" ht="12.75" customHeight="1">
      <c r="A176" s="31">
        <f>A172+1</f>
        <v>24</v>
      </c>
      <c r="B176" s="275" t="s">
        <v>44</v>
      </c>
      <c r="C176" s="281" t="s">
        <v>107</v>
      </c>
      <c r="D176" s="45" t="s">
        <v>26</v>
      </c>
      <c r="E176" s="262">
        <f>18.2/1000*4</f>
        <v>7.2800000000000004E-2</v>
      </c>
      <c r="I176" s="46"/>
      <c r="K176" s="47"/>
      <c r="L176" s="64"/>
      <c r="M176" s="65"/>
      <c r="N176" s="66"/>
      <c r="O176" s="67"/>
      <c r="P176" s="33"/>
      <c r="Q176" s="68"/>
      <c r="R176" s="42">
        <f>G177+J177</f>
        <v>0</v>
      </c>
      <c r="S176" s="283">
        <f>(R176+R177)*U176</f>
        <v>0</v>
      </c>
      <c r="T176" s="285">
        <f>E176*S176</f>
        <v>0</v>
      </c>
      <c r="U176" s="285"/>
      <c r="V176" s="70"/>
    </row>
    <row r="177" spans="1:24" ht="12.75" customHeight="1">
      <c r="A177" s="44"/>
      <c r="B177" s="275"/>
      <c r="C177" s="282"/>
      <c r="E177" s="262"/>
      <c r="G177" s="34">
        <f>G176*$J$13/1000</f>
        <v>0</v>
      </c>
      <c r="I177" s="46"/>
      <c r="J177" s="34">
        <f>J176*$Q$13/1000</f>
        <v>0</v>
      </c>
      <c r="K177" s="47"/>
      <c r="L177" s="287" t="s">
        <v>108</v>
      </c>
      <c r="M177" s="71" t="s">
        <v>26</v>
      </c>
      <c r="N177" s="72">
        <v>1</v>
      </c>
      <c r="O177" s="72">
        <f>E176*N177</f>
        <v>7.2800000000000004E-2</v>
      </c>
      <c r="P177" s="140">
        <v>291.66699999999997</v>
      </c>
      <c r="Q177" s="74">
        <f>N177*P177*$N$11</f>
        <v>332.89841795490003</v>
      </c>
      <c r="R177" s="262">
        <f>SUM(Q177:Q177)</f>
        <v>332.89841795490003</v>
      </c>
      <c r="S177" s="284"/>
      <c r="T177" s="286"/>
      <c r="U177" s="286"/>
      <c r="V177" s="70"/>
    </row>
    <row r="178" spans="1:24" ht="18.75" hidden="1" customHeight="1">
      <c r="A178" s="44"/>
      <c r="C178" s="282"/>
      <c r="E178" s="262"/>
      <c r="I178" s="46"/>
      <c r="K178" s="47"/>
      <c r="L178" s="288"/>
      <c r="M178" s="80"/>
      <c r="N178" s="81"/>
      <c r="O178" s="82"/>
      <c r="P178" s="83"/>
      <c r="Q178" s="84"/>
      <c r="R178" s="262"/>
      <c r="S178" s="262"/>
      <c r="T178" s="49"/>
      <c r="U178" s="49"/>
      <c r="V178" s="70"/>
    </row>
    <row r="179" spans="1:24" ht="12.75" customHeight="1">
      <c r="A179" s="50"/>
      <c r="B179" s="51"/>
      <c r="C179" s="52"/>
      <c r="D179" s="53"/>
      <c r="E179" s="267"/>
      <c r="F179" s="54"/>
      <c r="G179" s="55"/>
      <c r="H179" s="54"/>
      <c r="I179" s="56"/>
      <c r="J179" s="55"/>
      <c r="K179" s="57"/>
      <c r="Q179" s="48"/>
      <c r="R179" s="262"/>
      <c r="S179" s="262"/>
      <c r="T179" s="49"/>
      <c r="U179" s="49"/>
      <c r="V179" s="70"/>
    </row>
    <row r="180" spans="1:24" s="69" customFormat="1" ht="12.75" customHeight="1">
      <c r="A180" s="91"/>
      <c r="B180" s="92"/>
      <c r="C180" s="93" t="s">
        <v>27</v>
      </c>
      <c r="D180" s="94"/>
      <c r="E180" s="95"/>
      <c r="F180" s="96"/>
      <c r="G180" s="97"/>
      <c r="H180" s="96"/>
      <c r="I180" s="98"/>
      <c r="J180" s="97"/>
      <c r="K180" s="99"/>
      <c r="L180" s="100"/>
      <c r="M180" s="101"/>
      <c r="N180" s="102"/>
      <c r="O180" s="103"/>
      <c r="P180" s="96"/>
      <c r="Q180" s="97"/>
      <c r="R180" s="103"/>
      <c r="S180" s="103"/>
      <c r="T180" s="104">
        <f>SUM(T50:T179)</f>
        <v>0</v>
      </c>
      <c r="U180" s="373">
        <v>0.434</v>
      </c>
      <c r="W180" s="70"/>
      <c r="X180" s="70"/>
    </row>
    <row r="181" spans="1:24" s="69" customFormat="1" ht="12.75" customHeight="1">
      <c r="A181" s="91"/>
      <c r="B181" s="247"/>
      <c r="C181" s="256">
        <v>2</v>
      </c>
      <c r="D181" s="248"/>
      <c r="E181" s="249"/>
      <c r="F181" s="250"/>
      <c r="G181" s="251"/>
      <c r="H181" s="250"/>
      <c r="I181" s="252"/>
      <c r="J181" s="251"/>
      <c r="K181" s="253"/>
      <c r="L181" s="100"/>
      <c r="M181" s="101"/>
      <c r="N181" s="102"/>
      <c r="O181" s="103"/>
      <c r="P181" s="96"/>
      <c r="Q181" s="97"/>
      <c r="R181" s="103"/>
      <c r="S181" s="254"/>
      <c r="T181" s="255"/>
      <c r="U181" s="255"/>
      <c r="W181" s="70"/>
      <c r="X181" s="70"/>
    </row>
    <row r="182" spans="1:24" s="189" customFormat="1" ht="10.5" customHeight="1">
      <c r="A182" s="175">
        <f>A178+1</f>
        <v>1</v>
      </c>
      <c r="B182" s="176" t="s">
        <v>132</v>
      </c>
      <c r="C182" s="291" t="s">
        <v>133</v>
      </c>
      <c r="D182" s="177" t="s">
        <v>25</v>
      </c>
      <c r="E182" s="215">
        <f>6.6/100</f>
        <v>6.6000000000000003E-2</v>
      </c>
      <c r="F182" s="178"/>
      <c r="G182" s="179">
        <v>87.7</v>
      </c>
      <c r="H182" s="178"/>
      <c r="I182" s="180"/>
      <c r="J182" s="179">
        <v>9.8000000000000007</v>
      </c>
      <c r="K182" s="181"/>
      <c r="L182" s="182"/>
      <c r="M182" s="183"/>
      <c r="N182" s="184"/>
      <c r="O182" s="184"/>
      <c r="P182" s="185"/>
      <c r="Q182" s="186"/>
      <c r="R182" s="187">
        <f>G183+J183</f>
        <v>192.20921100000001</v>
      </c>
      <c r="S182" s="261">
        <f>(R182+R183)*U182</f>
        <v>0</v>
      </c>
      <c r="T182" s="273">
        <f>E182*S182</f>
        <v>0</v>
      </c>
      <c r="U182" s="276"/>
      <c r="V182" s="188"/>
    </row>
    <row r="183" spans="1:24" s="189" customFormat="1" ht="21" customHeight="1">
      <c r="A183" s="190"/>
      <c r="B183" s="191"/>
      <c r="C183" s="292"/>
      <c r="D183" s="192"/>
      <c r="E183" s="272"/>
      <c r="F183" s="193"/>
      <c r="G183" s="179">
        <f>G182*$J$13/1000</f>
        <v>166.79575300000002</v>
      </c>
      <c r="H183" s="193"/>
      <c r="I183" s="194"/>
      <c r="J183" s="179">
        <f>J182*$Q$13/1000</f>
        <v>25.413458000000002</v>
      </c>
      <c r="K183" s="195"/>
      <c r="L183" s="196"/>
      <c r="M183" s="197"/>
      <c r="N183" s="198"/>
      <c r="O183" s="198"/>
      <c r="P183" s="193"/>
      <c r="Q183" s="199"/>
      <c r="R183" s="272"/>
      <c r="S183" s="272"/>
      <c r="T183" s="200"/>
      <c r="U183" s="200"/>
      <c r="V183" s="188"/>
    </row>
    <row r="184" spans="1:24" s="189" customFormat="1" ht="18.75" customHeight="1">
      <c r="A184" s="201"/>
      <c r="B184" s="202"/>
      <c r="C184" s="203"/>
      <c r="D184" s="204"/>
      <c r="E184" s="205"/>
      <c r="F184" s="206"/>
      <c r="G184" s="207"/>
      <c r="H184" s="206"/>
      <c r="I184" s="208"/>
      <c r="J184" s="207"/>
      <c r="K184" s="209"/>
      <c r="L184" s="210"/>
      <c r="M184" s="211"/>
      <c r="N184" s="212"/>
      <c r="O184" s="212"/>
      <c r="P184" s="206"/>
      <c r="Q184" s="213"/>
      <c r="R184" s="205"/>
      <c r="S184" s="205"/>
      <c r="T184" s="214"/>
      <c r="U184" s="214"/>
      <c r="V184" s="188"/>
    </row>
    <row r="185" spans="1:24" s="223" customFormat="1" ht="12.75" customHeight="1">
      <c r="A185" s="217">
        <f>A182+1</f>
        <v>2</v>
      </c>
      <c r="B185" s="176" t="s">
        <v>134</v>
      </c>
      <c r="C185" s="291" t="s">
        <v>137</v>
      </c>
      <c r="D185" s="177" t="s">
        <v>28</v>
      </c>
      <c r="E185" s="271">
        <v>3.3</v>
      </c>
      <c r="F185" s="178"/>
      <c r="G185" s="179">
        <v>0</v>
      </c>
      <c r="H185" s="178"/>
      <c r="I185" s="180"/>
      <c r="J185" s="179">
        <v>0</v>
      </c>
      <c r="K185" s="181"/>
      <c r="L185" s="218"/>
      <c r="M185" s="219"/>
      <c r="N185" s="220"/>
      <c r="O185" s="221"/>
      <c r="P185" s="178"/>
      <c r="Q185" s="222"/>
      <c r="R185" s="187">
        <f>G186+J186</f>
        <v>0</v>
      </c>
      <c r="S185" s="283">
        <f>(R185+R186)*U185</f>
        <v>0</v>
      </c>
      <c r="T185" s="293">
        <f>E185*S185</f>
        <v>0</v>
      </c>
      <c r="U185" s="293"/>
      <c r="W185" s="224"/>
      <c r="X185" s="224"/>
    </row>
    <row r="186" spans="1:24" s="223" customFormat="1" ht="12.75" customHeight="1">
      <c r="A186" s="190"/>
      <c r="B186" s="189"/>
      <c r="C186" s="292"/>
      <c r="D186" s="192"/>
      <c r="E186" s="272"/>
      <c r="F186" s="193"/>
      <c r="G186" s="179">
        <f>G185*$J$13/1000</f>
        <v>0</v>
      </c>
      <c r="H186" s="193"/>
      <c r="I186" s="194"/>
      <c r="J186" s="179">
        <f>J185*$Q$13/1000</f>
        <v>0</v>
      </c>
      <c r="K186" s="195"/>
      <c r="L186" s="295" t="s">
        <v>135</v>
      </c>
      <c r="M186" s="225" t="s">
        <v>28</v>
      </c>
      <c r="N186" s="226">
        <v>1</v>
      </c>
      <c r="O186" s="226">
        <f>E185*N186</f>
        <v>3.3</v>
      </c>
      <c r="P186" s="227">
        <v>24.722000000000001</v>
      </c>
      <c r="Q186" s="228">
        <f>N186*P186*$N$11</f>
        <v>28.216818113400006</v>
      </c>
      <c r="R186" s="272">
        <f>SUM(Q186:Q186)</f>
        <v>28.216818113400006</v>
      </c>
      <c r="S186" s="284"/>
      <c r="T186" s="294"/>
      <c r="U186" s="294"/>
      <c r="W186" s="224"/>
      <c r="X186" s="224"/>
    </row>
    <row r="187" spans="1:24" s="223" customFormat="1" ht="12.75" hidden="1" customHeight="1">
      <c r="A187" s="190"/>
      <c r="B187" s="189"/>
      <c r="C187" s="292"/>
      <c r="D187" s="192"/>
      <c r="E187" s="272"/>
      <c r="F187" s="193"/>
      <c r="G187" s="216"/>
      <c r="H187" s="193"/>
      <c r="I187" s="194"/>
      <c r="J187" s="216"/>
      <c r="K187" s="195"/>
      <c r="L187" s="296"/>
      <c r="M187" s="229"/>
      <c r="N187" s="230"/>
      <c r="O187" s="231"/>
      <c r="P187" s="232"/>
      <c r="Q187" s="233"/>
      <c r="R187" s="272"/>
      <c r="S187" s="272"/>
      <c r="T187" s="200"/>
      <c r="U187" s="200"/>
      <c r="W187" s="224"/>
      <c r="X187" s="224"/>
    </row>
    <row r="188" spans="1:24" s="223" customFormat="1" ht="54.75" hidden="1" customHeight="1">
      <c r="A188" s="190"/>
      <c r="B188" s="189"/>
      <c r="C188" s="292"/>
      <c r="D188" s="192"/>
      <c r="E188" s="272"/>
      <c r="F188" s="193"/>
      <c r="G188" s="216"/>
      <c r="H188" s="193"/>
      <c r="I188" s="194"/>
      <c r="J188" s="216"/>
      <c r="K188" s="195"/>
      <c r="L188" s="297"/>
      <c r="M188" s="234"/>
      <c r="N188" s="235"/>
      <c r="O188" s="236"/>
      <c r="P188" s="237"/>
      <c r="Q188" s="238"/>
      <c r="R188" s="272"/>
      <c r="S188" s="272"/>
      <c r="T188" s="200"/>
      <c r="U188" s="200"/>
      <c r="W188" s="224"/>
      <c r="X188" s="224"/>
    </row>
    <row r="189" spans="1:24" s="223" customFormat="1" ht="12.75" customHeight="1">
      <c r="A189" s="201"/>
      <c r="B189" s="202"/>
      <c r="C189" s="239"/>
      <c r="D189" s="204"/>
      <c r="E189" s="205"/>
      <c r="F189" s="206"/>
      <c r="G189" s="207"/>
      <c r="H189" s="206"/>
      <c r="I189" s="208"/>
      <c r="J189" s="207"/>
      <c r="K189" s="209"/>
      <c r="L189" s="240"/>
      <c r="M189" s="211"/>
      <c r="N189" s="212"/>
      <c r="O189" s="241"/>
      <c r="P189" s="206"/>
      <c r="Q189" s="213"/>
      <c r="R189" s="205"/>
      <c r="S189" s="205"/>
      <c r="T189" s="214"/>
      <c r="U189" s="214"/>
      <c r="W189" s="224"/>
      <c r="X189" s="224"/>
    </row>
    <row r="190" spans="1:24" s="223" customFormat="1" ht="12.75" customHeight="1">
      <c r="A190" s="217">
        <f>A185+1</f>
        <v>3</v>
      </c>
      <c r="B190" s="176" t="s">
        <v>134</v>
      </c>
      <c r="C190" s="291" t="s">
        <v>138</v>
      </c>
      <c r="D190" s="177" t="s">
        <v>28</v>
      </c>
      <c r="E190" s="271">
        <v>3.3</v>
      </c>
      <c r="F190" s="178"/>
      <c r="G190" s="179">
        <v>0</v>
      </c>
      <c r="H190" s="178"/>
      <c r="I190" s="180"/>
      <c r="J190" s="179">
        <v>0</v>
      </c>
      <c r="K190" s="181"/>
      <c r="L190" s="218"/>
      <c r="M190" s="219"/>
      <c r="N190" s="220"/>
      <c r="O190" s="221"/>
      <c r="P190" s="178"/>
      <c r="Q190" s="222"/>
      <c r="R190" s="187">
        <f>G191+J191</f>
        <v>0</v>
      </c>
      <c r="S190" s="283">
        <f>(R190+R191)*U190</f>
        <v>0</v>
      </c>
      <c r="T190" s="293">
        <f>E190*S190</f>
        <v>0</v>
      </c>
      <c r="U190" s="293"/>
      <c r="W190" s="224"/>
      <c r="X190" s="224"/>
    </row>
    <row r="191" spans="1:24" s="223" customFormat="1" ht="12.75" customHeight="1">
      <c r="A191" s="190"/>
      <c r="B191" s="189"/>
      <c r="C191" s="298"/>
      <c r="D191" s="192"/>
      <c r="E191" s="272"/>
      <c r="F191" s="193"/>
      <c r="G191" s="179">
        <f>G190*$J$13/1000</f>
        <v>0</v>
      </c>
      <c r="H191" s="193"/>
      <c r="I191" s="194"/>
      <c r="J191" s="179">
        <f>J190*$Q$13/1000</f>
        <v>0</v>
      </c>
      <c r="K191" s="195"/>
      <c r="L191" s="295" t="s">
        <v>136</v>
      </c>
      <c r="M191" s="225" t="s">
        <v>28</v>
      </c>
      <c r="N191" s="226">
        <v>1</v>
      </c>
      <c r="O191" s="226">
        <f>E190*N191</f>
        <v>3.3</v>
      </c>
      <c r="P191" s="227">
        <v>16.25</v>
      </c>
      <c r="Q191" s="228">
        <f>N191*P191*$N$11</f>
        <v>18.547176375000003</v>
      </c>
      <c r="R191" s="272">
        <f>SUM(Q191:Q191)</f>
        <v>18.547176375000003</v>
      </c>
      <c r="S191" s="284"/>
      <c r="T191" s="294"/>
      <c r="U191" s="294"/>
      <c r="W191" s="224"/>
      <c r="X191" s="224"/>
    </row>
    <row r="192" spans="1:24" s="223" customFormat="1" ht="2.25" customHeight="1">
      <c r="A192" s="190"/>
      <c r="B192" s="189"/>
      <c r="C192" s="298"/>
      <c r="D192" s="192"/>
      <c r="E192" s="272"/>
      <c r="F192" s="193"/>
      <c r="G192" s="216"/>
      <c r="H192" s="193"/>
      <c r="I192" s="194"/>
      <c r="J192" s="216"/>
      <c r="K192" s="195"/>
      <c r="L192" s="296"/>
      <c r="M192" s="229"/>
      <c r="N192" s="230"/>
      <c r="O192" s="231"/>
      <c r="P192" s="232"/>
      <c r="Q192" s="233"/>
      <c r="R192" s="272"/>
      <c r="S192" s="272"/>
      <c r="T192" s="200"/>
      <c r="U192" s="200"/>
      <c r="W192" s="224"/>
      <c r="X192" s="224"/>
    </row>
    <row r="193" spans="1:24" s="223" customFormat="1" ht="36.75" hidden="1" customHeight="1">
      <c r="A193" s="190"/>
      <c r="B193" s="189"/>
      <c r="C193" s="298"/>
      <c r="D193" s="192"/>
      <c r="E193" s="272"/>
      <c r="F193" s="193"/>
      <c r="G193" s="216"/>
      <c r="H193" s="193"/>
      <c r="I193" s="194"/>
      <c r="J193" s="216"/>
      <c r="K193" s="195"/>
      <c r="L193" s="297"/>
      <c r="M193" s="234"/>
      <c r="N193" s="235"/>
      <c r="O193" s="236"/>
      <c r="P193" s="237"/>
      <c r="Q193" s="238"/>
      <c r="R193" s="272"/>
      <c r="S193" s="272"/>
      <c r="T193" s="200"/>
      <c r="U193" s="200"/>
      <c r="W193" s="224"/>
      <c r="X193" s="224"/>
    </row>
    <row r="194" spans="1:24" s="223" customFormat="1" ht="12.75" customHeight="1">
      <c r="A194" s="201"/>
      <c r="B194" s="202"/>
      <c r="C194" s="239"/>
      <c r="D194" s="204"/>
      <c r="E194" s="205"/>
      <c r="F194" s="206"/>
      <c r="G194" s="207"/>
      <c r="H194" s="206"/>
      <c r="I194" s="208"/>
      <c r="J194" s="207"/>
      <c r="K194" s="209"/>
      <c r="L194" s="240"/>
      <c r="M194" s="211"/>
      <c r="N194" s="212"/>
      <c r="O194" s="241"/>
      <c r="P194" s="206"/>
      <c r="Q194" s="213"/>
      <c r="R194" s="205"/>
      <c r="S194" s="205"/>
      <c r="T194" s="214"/>
      <c r="U194" s="214"/>
      <c r="W194" s="224"/>
      <c r="X194" s="224"/>
    </row>
    <row r="195" spans="1:24" s="69" customFormat="1" ht="12.75" customHeight="1">
      <c r="A195" s="63">
        <f>A190+1</f>
        <v>4</v>
      </c>
      <c r="B195" s="366" t="s">
        <v>152</v>
      </c>
      <c r="C195" s="281" t="s">
        <v>145</v>
      </c>
      <c r="D195" s="32" t="s">
        <v>25</v>
      </c>
      <c r="E195" s="258">
        <f>7.14/100</f>
        <v>7.1399999999999991E-2</v>
      </c>
      <c r="F195" s="33"/>
      <c r="G195" s="34">
        <v>150</v>
      </c>
      <c r="H195" s="33"/>
      <c r="I195" s="35"/>
      <c r="J195" s="34">
        <v>27.9</v>
      </c>
      <c r="K195" s="36"/>
      <c r="L195" s="64"/>
      <c r="M195" s="65"/>
      <c r="N195" s="66"/>
      <c r="O195" s="67"/>
      <c r="P195" s="33"/>
      <c r="Q195" s="68"/>
      <c r="R195" s="42">
        <f>G196+J196</f>
        <v>357.63405899999998</v>
      </c>
      <c r="S195" s="283">
        <f>(R195+R196)*U195</f>
        <v>0</v>
      </c>
      <c r="T195" s="285">
        <f>E195*S195</f>
        <v>0</v>
      </c>
      <c r="U195" s="285"/>
      <c r="W195" s="70"/>
      <c r="X195" s="70"/>
    </row>
    <row r="196" spans="1:24" s="69" customFormat="1" ht="12" customHeight="1">
      <c r="A196" s="44"/>
      <c r="B196" s="367"/>
      <c r="C196" s="368"/>
      <c r="D196" s="45"/>
      <c r="E196" s="262"/>
      <c r="F196" s="6"/>
      <c r="G196" s="34">
        <f>G195*$J$13/1000</f>
        <v>285.2835</v>
      </c>
      <c r="H196" s="6"/>
      <c r="I196" s="46"/>
      <c r="J196" s="34">
        <f>J195*$Q$13/1000</f>
        <v>72.35055899999999</v>
      </c>
      <c r="K196" s="47"/>
      <c r="L196" s="242" t="s">
        <v>153</v>
      </c>
      <c r="M196" s="243" t="s">
        <v>26</v>
      </c>
      <c r="N196" s="244">
        <v>5.28</v>
      </c>
      <c r="O196" s="244">
        <f>E195*N196</f>
        <v>0.37699199999999999</v>
      </c>
      <c r="P196" s="245">
        <v>19.309999999999999</v>
      </c>
      <c r="Q196" s="246">
        <f>N196*P196*$N$11</f>
        <v>116.36989244496003</v>
      </c>
      <c r="R196" s="262">
        <f>SUM(Q196:Q196)</f>
        <v>116.36989244496003</v>
      </c>
      <c r="S196" s="284"/>
      <c r="T196" s="369"/>
      <c r="U196" s="369"/>
      <c r="W196" s="70"/>
      <c r="X196" s="70"/>
    </row>
    <row r="197" spans="1:24" s="69" customFormat="1" ht="18" hidden="1" customHeight="1">
      <c r="A197" s="44"/>
      <c r="B197" s="370"/>
      <c r="C197" s="368"/>
      <c r="D197" s="45"/>
      <c r="E197" s="262"/>
      <c r="F197" s="6"/>
      <c r="G197" s="2"/>
      <c r="H197" s="6"/>
      <c r="I197" s="46"/>
      <c r="J197" s="2"/>
      <c r="K197" s="47"/>
      <c r="L197" s="3"/>
      <c r="M197" s="1"/>
      <c r="N197" s="4"/>
      <c r="O197" s="5"/>
      <c r="P197" s="6"/>
      <c r="Q197" s="48"/>
      <c r="R197" s="262"/>
      <c r="S197" s="262"/>
      <c r="T197" s="49"/>
      <c r="U197" s="49"/>
      <c r="W197" s="70"/>
      <c r="X197" s="70"/>
    </row>
    <row r="198" spans="1:24" s="69" customFormat="1" ht="4.5" hidden="1" customHeight="1">
      <c r="A198" s="44"/>
      <c r="B198" s="370"/>
      <c r="C198" s="368"/>
      <c r="D198" s="45"/>
      <c r="E198" s="262"/>
      <c r="F198" s="6"/>
      <c r="G198" s="2"/>
      <c r="H198" s="6"/>
      <c r="I198" s="46"/>
      <c r="J198" s="2"/>
      <c r="K198" s="47"/>
      <c r="L198" s="3"/>
      <c r="M198" s="1"/>
      <c r="N198" s="4"/>
      <c r="O198" s="5"/>
      <c r="P198" s="6"/>
      <c r="Q198" s="48"/>
      <c r="R198" s="262"/>
      <c r="S198" s="262"/>
      <c r="T198" s="49"/>
      <c r="U198" s="49"/>
      <c r="W198" s="70"/>
      <c r="X198" s="70"/>
    </row>
    <row r="199" spans="1:24" s="69" customFormat="1" ht="17.25" customHeight="1">
      <c r="A199" s="50"/>
      <c r="B199" s="51"/>
      <c r="C199" s="52"/>
      <c r="D199" s="53"/>
      <c r="E199" s="267"/>
      <c r="F199" s="54"/>
      <c r="G199" s="55"/>
      <c r="H199" s="54"/>
      <c r="I199" s="56"/>
      <c r="J199" s="55"/>
      <c r="K199" s="57"/>
      <c r="L199" s="58"/>
      <c r="M199" s="59"/>
      <c r="N199" s="60"/>
      <c r="O199" s="85"/>
      <c r="P199" s="54"/>
      <c r="Q199" s="61"/>
      <c r="R199" s="267"/>
      <c r="S199" s="267"/>
      <c r="T199" s="62"/>
      <c r="U199" s="62"/>
      <c r="W199" s="70"/>
      <c r="X199" s="70"/>
    </row>
    <row r="200" spans="1:24" s="223" customFormat="1" ht="12.75" customHeight="1">
      <c r="A200" s="217">
        <f>A195+1</f>
        <v>5</v>
      </c>
      <c r="B200" s="176" t="s">
        <v>36</v>
      </c>
      <c r="C200" s="291" t="s">
        <v>142</v>
      </c>
      <c r="D200" s="177" t="s">
        <v>28</v>
      </c>
      <c r="E200" s="271">
        <f>1.76</f>
        <v>1.76</v>
      </c>
      <c r="F200" s="178"/>
      <c r="G200" s="179">
        <f>45.8/100</f>
        <v>0.45799999999999996</v>
      </c>
      <c r="H200" s="178"/>
      <c r="I200" s="180"/>
      <c r="J200" s="179">
        <f>0.41/100</f>
        <v>4.0999999999999995E-3</v>
      </c>
      <c r="K200" s="181"/>
      <c r="L200" s="218"/>
      <c r="M200" s="219"/>
      <c r="N200" s="220"/>
      <c r="O200" s="221"/>
      <c r="P200" s="178"/>
      <c r="Q200" s="222"/>
      <c r="R200" s="187">
        <f>G201+J201</f>
        <v>0.88169778099999996</v>
      </c>
      <c r="S200" s="283">
        <f>(R200+R201)*U200</f>
        <v>0</v>
      </c>
      <c r="T200" s="293">
        <f>E200*S200</f>
        <v>0</v>
      </c>
      <c r="U200" s="293"/>
      <c r="W200" s="224"/>
      <c r="X200" s="224"/>
    </row>
    <row r="201" spans="1:24" s="223" customFormat="1" ht="12.75" customHeight="1">
      <c r="A201" s="190"/>
      <c r="B201" s="189"/>
      <c r="C201" s="298"/>
      <c r="D201" s="192"/>
      <c r="E201" s="272"/>
      <c r="F201" s="193"/>
      <c r="G201" s="179">
        <f>G200*$J$13/1000</f>
        <v>0.87106561999999998</v>
      </c>
      <c r="H201" s="193"/>
      <c r="I201" s="194"/>
      <c r="J201" s="179">
        <f>J200*$Q$13/1000</f>
        <v>1.0632160999999998E-2</v>
      </c>
      <c r="K201" s="195"/>
      <c r="L201" s="363" t="s">
        <v>143</v>
      </c>
      <c r="M201" s="225" t="s">
        <v>28</v>
      </c>
      <c r="N201" s="226">
        <v>1.05</v>
      </c>
      <c r="O201" s="226">
        <f>E200*N201</f>
        <v>1.8480000000000001</v>
      </c>
      <c r="P201" s="227">
        <v>2.1059999999999999</v>
      </c>
      <c r="Q201" s="228">
        <f>N201*P201*$N$11</f>
        <v>2.5238997611100005</v>
      </c>
      <c r="R201" s="272">
        <f>SUM(Q201:Q201)</f>
        <v>2.5238997611100005</v>
      </c>
      <c r="S201" s="284"/>
      <c r="T201" s="294"/>
      <c r="U201" s="294"/>
      <c r="W201" s="224"/>
      <c r="X201" s="224"/>
    </row>
    <row r="202" spans="1:24" s="223" customFormat="1" ht="1.5" customHeight="1">
      <c r="A202" s="190"/>
      <c r="B202" s="189"/>
      <c r="C202" s="298"/>
      <c r="D202" s="192"/>
      <c r="E202" s="272"/>
      <c r="F202" s="193"/>
      <c r="G202" s="216"/>
      <c r="H202" s="193"/>
      <c r="I202" s="194"/>
      <c r="J202" s="216"/>
      <c r="K202" s="195"/>
      <c r="L202" s="364"/>
      <c r="M202" s="229"/>
      <c r="N202" s="230"/>
      <c r="O202" s="231"/>
      <c r="P202" s="232"/>
      <c r="Q202" s="233"/>
      <c r="R202" s="272"/>
      <c r="S202" s="272"/>
      <c r="T202" s="200"/>
      <c r="U202" s="200"/>
      <c r="W202" s="224"/>
      <c r="X202" s="224"/>
    </row>
    <row r="203" spans="1:24" s="223" customFormat="1" ht="55.5" hidden="1" customHeight="1">
      <c r="A203" s="190"/>
      <c r="B203" s="189"/>
      <c r="C203" s="298"/>
      <c r="D203" s="192"/>
      <c r="E203" s="272"/>
      <c r="F203" s="193"/>
      <c r="G203" s="216"/>
      <c r="H203" s="193"/>
      <c r="I203" s="194"/>
      <c r="J203" s="216"/>
      <c r="K203" s="195"/>
      <c r="L203" s="365"/>
      <c r="M203" s="234"/>
      <c r="N203" s="235"/>
      <c r="O203" s="236"/>
      <c r="P203" s="237"/>
      <c r="Q203" s="238"/>
      <c r="R203" s="272"/>
      <c r="S203" s="272"/>
      <c r="T203" s="200"/>
      <c r="U203" s="200"/>
      <c r="W203" s="224"/>
      <c r="X203" s="224"/>
    </row>
    <row r="204" spans="1:24" s="223" customFormat="1" ht="12.75" customHeight="1">
      <c r="A204" s="201"/>
      <c r="B204" s="202"/>
      <c r="C204" s="239"/>
      <c r="D204" s="204"/>
      <c r="E204" s="205"/>
      <c r="F204" s="206"/>
      <c r="G204" s="207"/>
      <c r="H204" s="206"/>
      <c r="I204" s="208"/>
      <c r="J204" s="207"/>
      <c r="K204" s="209"/>
      <c r="L204" s="240"/>
      <c r="M204" s="211"/>
      <c r="N204" s="212"/>
      <c r="O204" s="241"/>
      <c r="P204" s="206"/>
      <c r="Q204" s="213"/>
      <c r="R204" s="205"/>
      <c r="S204" s="205"/>
      <c r="T204" s="214"/>
      <c r="U204" s="214"/>
      <c r="W204" s="224"/>
      <c r="X204" s="224"/>
    </row>
    <row r="205" spans="1:24" s="223" customFormat="1" ht="12.75" customHeight="1">
      <c r="A205" s="217">
        <f>A200+1</f>
        <v>6</v>
      </c>
      <c r="B205" s="176" t="s">
        <v>134</v>
      </c>
      <c r="C205" s="291" t="s">
        <v>140</v>
      </c>
      <c r="D205" s="177" t="s">
        <v>139</v>
      </c>
      <c r="E205" s="271">
        <v>5.8</v>
      </c>
      <c r="F205" s="178"/>
      <c r="G205" s="179">
        <v>0</v>
      </c>
      <c r="H205" s="178"/>
      <c r="I205" s="180"/>
      <c r="J205" s="179">
        <v>0</v>
      </c>
      <c r="K205" s="181"/>
      <c r="L205" s="218"/>
      <c r="M205" s="219"/>
      <c r="N205" s="220"/>
      <c r="O205" s="221"/>
      <c r="P205" s="178"/>
      <c r="Q205" s="222"/>
      <c r="R205" s="187">
        <f>G206+J206</f>
        <v>0</v>
      </c>
      <c r="S205" s="283">
        <f>(R205+R206)*U205</f>
        <v>0</v>
      </c>
      <c r="T205" s="293">
        <f>E205*S205</f>
        <v>0</v>
      </c>
      <c r="U205" s="293"/>
      <c r="W205" s="224"/>
      <c r="X205" s="224"/>
    </row>
    <row r="206" spans="1:24" s="223" customFormat="1" ht="12.75" customHeight="1">
      <c r="A206" s="190"/>
      <c r="B206" s="189"/>
      <c r="C206" s="298"/>
      <c r="D206" s="192"/>
      <c r="E206" s="272"/>
      <c r="F206" s="193"/>
      <c r="G206" s="179">
        <f>G205*$J$13/1000</f>
        <v>0</v>
      </c>
      <c r="H206" s="193"/>
      <c r="I206" s="194"/>
      <c r="J206" s="179">
        <f>J205*$Q$13/1000</f>
        <v>0</v>
      </c>
      <c r="K206" s="195"/>
      <c r="L206" s="360" t="s">
        <v>141</v>
      </c>
      <c r="M206" s="225" t="s">
        <v>28</v>
      </c>
      <c r="N206" s="226">
        <v>1</v>
      </c>
      <c r="O206" s="226">
        <f>E205*N206</f>
        <v>5.8</v>
      </c>
      <c r="P206" s="227">
        <v>3.0419999999999998</v>
      </c>
      <c r="Q206" s="228">
        <f>N206*P206*$N$11</f>
        <v>3.4720314174000007</v>
      </c>
      <c r="R206" s="272">
        <f>SUM(Q206:Q206)</f>
        <v>3.4720314174000007</v>
      </c>
      <c r="S206" s="284"/>
      <c r="T206" s="294"/>
      <c r="U206" s="294"/>
      <c r="W206" s="224"/>
      <c r="X206" s="224"/>
    </row>
    <row r="207" spans="1:24" s="223" customFormat="1" ht="2.25" customHeight="1">
      <c r="A207" s="190"/>
      <c r="B207" s="189"/>
      <c r="C207" s="298"/>
      <c r="D207" s="192"/>
      <c r="E207" s="272"/>
      <c r="F207" s="193"/>
      <c r="G207" s="216"/>
      <c r="H207" s="193"/>
      <c r="I207" s="194"/>
      <c r="J207" s="216"/>
      <c r="K207" s="195"/>
      <c r="L207" s="361"/>
      <c r="M207" s="229"/>
      <c r="N207" s="230"/>
      <c r="O207" s="231"/>
      <c r="P207" s="232"/>
      <c r="Q207" s="233"/>
      <c r="R207" s="272"/>
      <c r="S207" s="272"/>
      <c r="T207" s="200"/>
      <c r="U207" s="200"/>
      <c r="W207" s="224"/>
      <c r="X207" s="224"/>
    </row>
    <row r="208" spans="1:24" s="223" customFormat="1" ht="12.75" hidden="1" customHeight="1">
      <c r="A208" s="190"/>
      <c r="B208" s="189"/>
      <c r="C208" s="298"/>
      <c r="D208" s="192"/>
      <c r="E208" s="272"/>
      <c r="F208" s="193"/>
      <c r="G208" s="216"/>
      <c r="H208" s="193"/>
      <c r="I208" s="194"/>
      <c r="J208" s="216"/>
      <c r="K208" s="195"/>
      <c r="L208" s="362"/>
      <c r="M208" s="234"/>
      <c r="N208" s="235"/>
      <c r="O208" s="236"/>
      <c r="P208" s="237"/>
      <c r="Q208" s="238"/>
      <c r="R208" s="272"/>
      <c r="S208" s="272"/>
      <c r="T208" s="200"/>
      <c r="U208" s="200"/>
      <c r="W208" s="224"/>
      <c r="X208" s="224"/>
    </row>
    <row r="209" spans="1:24" s="223" customFormat="1" ht="12.75" customHeight="1">
      <c r="A209" s="201"/>
      <c r="B209" s="202"/>
      <c r="C209" s="239"/>
      <c r="D209" s="204"/>
      <c r="E209" s="205"/>
      <c r="F209" s="206"/>
      <c r="G209" s="207"/>
      <c r="H209" s="206"/>
      <c r="I209" s="208"/>
      <c r="J209" s="207"/>
      <c r="K209" s="209"/>
      <c r="L209" s="240"/>
      <c r="M209" s="211"/>
      <c r="N209" s="212"/>
      <c r="O209" s="241"/>
      <c r="P209" s="206"/>
      <c r="Q209" s="213"/>
      <c r="R209" s="205"/>
      <c r="S209" s="205"/>
      <c r="T209" s="214"/>
      <c r="U209" s="214"/>
      <c r="W209" s="224"/>
      <c r="X209" s="224"/>
    </row>
    <row r="210" spans="1:24" s="224" customFormat="1" ht="12.75" customHeight="1">
      <c r="A210" s="217">
        <f>A205+1</f>
        <v>7</v>
      </c>
      <c r="B210" s="176" t="s">
        <v>146</v>
      </c>
      <c r="C210" s="291" t="s">
        <v>148</v>
      </c>
      <c r="D210" s="177" t="s">
        <v>25</v>
      </c>
      <c r="E210" s="215">
        <f>5.88/100</f>
        <v>5.8799999999999998E-2</v>
      </c>
      <c r="F210" s="178"/>
      <c r="G210" s="179">
        <v>45.7</v>
      </c>
      <c r="H210" s="178"/>
      <c r="I210" s="180"/>
      <c r="J210" s="179">
        <v>9.8000000000000007</v>
      </c>
      <c r="K210" s="181"/>
      <c r="L210" s="182"/>
      <c r="M210" s="183"/>
      <c r="N210" s="184"/>
      <c r="O210" s="184"/>
      <c r="P210" s="185"/>
      <c r="Q210" s="186"/>
      <c r="R210" s="187">
        <f>G211+J211</f>
        <v>112.32983100000001</v>
      </c>
      <c r="S210" s="271">
        <f>(R210+R211)*U210</f>
        <v>0</v>
      </c>
      <c r="T210" s="273">
        <f>E210*S210</f>
        <v>0</v>
      </c>
      <c r="U210" s="276"/>
      <c r="V210" s="223"/>
    </row>
    <row r="211" spans="1:24" s="224" customFormat="1" ht="12.75" customHeight="1">
      <c r="A211" s="190"/>
      <c r="B211" s="191" t="s">
        <v>147</v>
      </c>
      <c r="C211" s="298"/>
      <c r="D211" s="192"/>
      <c r="E211" s="272"/>
      <c r="F211" s="193"/>
      <c r="G211" s="179">
        <f>G210*$J$13/1000</f>
        <v>86.916373000000007</v>
      </c>
      <c r="H211" s="193"/>
      <c r="I211" s="194"/>
      <c r="J211" s="179">
        <f>J210*$Q$13/1000</f>
        <v>25.413458000000002</v>
      </c>
      <c r="K211" s="195"/>
      <c r="L211" s="196"/>
      <c r="M211" s="197"/>
      <c r="N211" s="198"/>
      <c r="O211" s="198"/>
      <c r="P211" s="193"/>
      <c r="Q211" s="199"/>
      <c r="R211" s="272"/>
      <c r="S211" s="272"/>
      <c r="T211" s="200"/>
      <c r="U211" s="200"/>
      <c r="V211" s="223"/>
    </row>
    <row r="212" spans="1:24" s="224" customFormat="1" ht="13.5" customHeight="1">
      <c r="A212" s="201"/>
      <c r="B212" s="202"/>
      <c r="C212" s="203"/>
      <c r="D212" s="204"/>
      <c r="E212" s="205"/>
      <c r="F212" s="206"/>
      <c r="G212" s="207"/>
      <c r="H212" s="206"/>
      <c r="I212" s="208"/>
      <c r="J212" s="207"/>
      <c r="K212" s="209"/>
      <c r="L212" s="210"/>
      <c r="M212" s="211"/>
      <c r="N212" s="212"/>
      <c r="O212" s="212"/>
      <c r="P212" s="206"/>
      <c r="Q212" s="213"/>
      <c r="R212" s="205"/>
      <c r="S212" s="205"/>
      <c r="T212" s="214"/>
      <c r="U212" s="214"/>
      <c r="V212" s="223"/>
    </row>
    <row r="213" spans="1:24" s="223" customFormat="1" ht="12.75" customHeight="1">
      <c r="A213" s="217">
        <f>A210+1</f>
        <v>8</v>
      </c>
      <c r="B213" s="176" t="s">
        <v>134</v>
      </c>
      <c r="C213" s="291" t="s">
        <v>149</v>
      </c>
      <c r="D213" s="177" t="s">
        <v>28</v>
      </c>
      <c r="E213" s="271">
        <v>5.88</v>
      </c>
      <c r="F213" s="178"/>
      <c r="G213" s="179">
        <v>0</v>
      </c>
      <c r="H213" s="178"/>
      <c r="I213" s="180"/>
      <c r="J213" s="179">
        <v>0</v>
      </c>
      <c r="K213" s="181"/>
      <c r="L213" s="218"/>
      <c r="M213" s="219"/>
      <c r="N213" s="220"/>
      <c r="O213" s="221"/>
      <c r="P213" s="178"/>
      <c r="Q213" s="222"/>
      <c r="R213" s="187">
        <f>G214+J214</f>
        <v>0</v>
      </c>
      <c r="S213" s="283">
        <f>(R213+R214)*U213</f>
        <v>0</v>
      </c>
      <c r="T213" s="293">
        <f>E213*S213</f>
        <v>0</v>
      </c>
      <c r="U213" s="293"/>
      <c r="W213" s="224"/>
      <c r="X213" s="224"/>
    </row>
    <row r="214" spans="1:24" s="223" customFormat="1" ht="12.75" customHeight="1">
      <c r="A214" s="190"/>
      <c r="B214" s="189"/>
      <c r="C214" s="298"/>
      <c r="D214" s="192"/>
      <c r="E214" s="272"/>
      <c r="F214" s="193"/>
      <c r="G214" s="179">
        <f>G213*$J$13/1000</f>
        <v>0</v>
      </c>
      <c r="H214" s="193"/>
      <c r="I214" s="194"/>
      <c r="J214" s="179">
        <f>J213*$Q$13/1000</f>
        <v>0</v>
      </c>
      <c r="K214" s="195"/>
      <c r="L214" s="295" t="s">
        <v>150</v>
      </c>
      <c r="M214" s="225" t="s">
        <v>28</v>
      </c>
      <c r="N214" s="226">
        <v>1</v>
      </c>
      <c r="O214" s="226">
        <f>E213*N214</f>
        <v>5.88</v>
      </c>
      <c r="P214" s="227">
        <v>31.667000000000002</v>
      </c>
      <c r="Q214" s="228">
        <f>N214*P214*$N$11</f>
        <v>36.143595954900007</v>
      </c>
      <c r="R214" s="272">
        <f>SUM(Q214:Q214)</f>
        <v>36.143595954900007</v>
      </c>
      <c r="S214" s="284"/>
      <c r="T214" s="294"/>
      <c r="U214" s="294"/>
      <c r="W214" s="224"/>
      <c r="X214" s="224"/>
    </row>
    <row r="215" spans="1:24" s="223" customFormat="1" ht="1.5" customHeight="1">
      <c r="A215" s="190"/>
      <c r="B215" s="189"/>
      <c r="C215" s="298"/>
      <c r="D215" s="192"/>
      <c r="E215" s="272"/>
      <c r="F215" s="193"/>
      <c r="G215" s="216"/>
      <c r="H215" s="193"/>
      <c r="I215" s="194"/>
      <c r="J215" s="216"/>
      <c r="K215" s="195"/>
      <c r="L215" s="296"/>
      <c r="M215" s="229"/>
      <c r="N215" s="230"/>
      <c r="O215" s="231"/>
      <c r="P215" s="232"/>
      <c r="Q215" s="233"/>
      <c r="R215" s="272"/>
      <c r="S215" s="272"/>
      <c r="T215" s="200"/>
      <c r="U215" s="200"/>
      <c r="W215" s="224"/>
      <c r="X215" s="224"/>
    </row>
    <row r="216" spans="1:24" s="223" customFormat="1" ht="36.75" hidden="1" customHeight="1">
      <c r="A216" s="190"/>
      <c r="B216" s="189"/>
      <c r="C216" s="298"/>
      <c r="D216" s="192"/>
      <c r="E216" s="272"/>
      <c r="F216" s="193"/>
      <c r="G216" s="216"/>
      <c r="H216" s="193"/>
      <c r="I216" s="194"/>
      <c r="J216" s="216"/>
      <c r="K216" s="195"/>
      <c r="L216" s="297"/>
      <c r="M216" s="234"/>
      <c r="N216" s="235"/>
      <c r="O216" s="236"/>
      <c r="P216" s="237"/>
      <c r="Q216" s="238"/>
      <c r="R216" s="272"/>
      <c r="S216" s="272"/>
      <c r="T216" s="200"/>
      <c r="U216" s="200"/>
      <c r="W216" s="224"/>
      <c r="X216" s="224"/>
    </row>
    <row r="217" spans="1:24" s="223" customFormat="1" ht="12.75" customHeight="1">
      <c r="A217" s="201"/>
      <c r="B217" s="202"/>
      <c r="C217" s="239"/>
      <c r="D217" s="204"/>
      <c r="E217" s="205"/>
      <c r="F217" s="206"/>
      <c r="G217" s="207"/>
      <c r="H217" s="206"/>
      <c r="I217" s="208"/>
      <c r="J217" s="207"/>
      <c r="K217" s="209"/>
      <c r="L217" s="240"/>
      <c r="M217" s="211"/>
      <c r="N217" s="212"/>
      <c r="O217" s="241"/>
      <c r="P217" s="206"/>
      <c r="Q217" s="213"/>
      <c r="R217" s="205"/>
      <c r="S217" s="205"/>
      <c r="T217" s="214"/>
      <c r="U217" s="214"/>
      <c r="W217" s="224"/>
      <c r="X217" s="224"/>
    </row>
    <row r="218" spans="1:24" s="69" customFormat="1" ht="12.75" customHeight="1">
      <c r="A218" s="63">
        <f>A213+1</f>
        <v>9</v>
      </c>
      <c r="B218" s="366" t="s">
        <v>152</v>
      </c>
      <c r="C218" s="281" t="s">
        <v>151</v>
      </c>
      <c r="D218" s="32" t="s">
        <v>25</v>
      </c>
      <c r="E218" s="258">
        <f>3.92/100</f>
        <v>3.9199999999999999E-2</v>
      </c>
      <c r="F218" s="33"/>
      <c r="G218" s="34">
        <v>150</v>
      </c>
      <c r="H218" s="33"/>
      <c r="I218" s="35"/>
      <c r="J218" s="34">
        <v>27.9</v>
      </c>
      <c r="K218" s="36"/>
      <c r="L218" s="64"/>
      <c r="M218" s="65"/>
      <c r="N218" s="66"/>
      <c r="O218" s="67"/>
      <c r="P218" s="33"/>
      <c r="Q218" s="68"/>
      <c r="R218" s="42">
        <f>G219+J219</f>
        <v>357.63405899999998</v>
      </c>
      <c r="S218" s="283">
        <f>(R218+R219)*U218</f>
        <v>0</v>
      </c>
      <c r="T218" s="285">
        <f>E218*S218</f>
        <v>0</v>
      </c>
      <c r="U218" s="285"/>
      <c r="W218" s="70"/>
      <c r="X218" s="70"/>
    </row>
    <row r="219" spans="1:24" s="69" customFormat="1" ht="12.75" customHeight="1">
      <c r="A219" s="44"/>
      <c r="B219" s="367"/>
      <c r="C219" s="368"/>
      <c r="D219" s="45"/>
      <c r="E219" s="262"/>
      <c r="F219" s="6"/>
      <c r="G219" s="34">
        <f>G218*$J$13/1000</f>
        <v>285.2835</v>
      </c>
      <c r="H219" s="6"/>
      <c r="I219" s="46"/>
      <c r="J219" s="34">
        <f>J218*$Q$13/1000</f>
        <v>72.35055899999999</v>
      </c>
      <c r="K219" s="47"/>
      <c r="L219" s="242" t="s">
        <v>153</v>
      </c>
      <c r="M219" s="243" t="s">
        <v>26</v>
      </c>
      <c r="N219" s="244">
        <v>5.28</v>
      </c>
      <c r="O219" s="244">
        <f>E218*N219</f>
        <v>0.20697599999999999</v>
      </c>
      <c r="P219" s="245">
        <v>19.309999999999999</v>
      </c>
      <c r="Q219" s="246">
        <f>N219*P219*$N$11</f>
        <v>116.36989244496003</v>
      </c>
      <c r="R219" s="262">
        <f>SUM(Q219:Q219)</f>
        <v>116.36989244496003</v>
      </c>
      <c r="S219" s="284"/>
      <c r="T219" s="369"/>
      <c r="U219" s="369"/>
      <c r="W219" s="70"/>
      <c r="X219" s="70"/>
    </row>
    <row r="220" spans="1:24" s="69" customFormat="1" ht="18" customHeight="1">
      <c r="A220" s="44"/>
      <c r="B220" s="370" t="s">
        <v>144</v>
      </c>
      <c r="C220" s="368"/>
      <c r="D220" s="45"/>
      <c r="E220" s="262"/>
      <c r="F220" s="6"/>
      <c r="G220" s="2"/>
      <c r="H220" s="6"/>
      <c r="I220" s="46"/>
      <c r="J220" s="2"/>
      <c r="K220" s="47"/>
      <c r="L220" s="3"/>
      <c r="M220" s="1"/>
      <c r="N220" s="4"/>
      <c r="O220" s="5"/>
      <c r="P220" s="6"/>
      <c r="Q220" s="48"/>
      <c r="R220" s="262"/>
      <c r="S220" s="262"/>
      <c r="T220" s="49"/>
      <c r="U220" s="49"/>
      <c r="W220" s="70"/>
      <c r="X220" s="70"/>
    </row>
    <row r="221" spans="1:24" s="69" customFormat="1" ht="4.5" customHeight="1">
      <c r="A221" s="44"/>
      <c r="B221" s="370"/>
      <c r="C221" s="368"/>
      <c r="D221" s="45"/>
      <c r="E221" s="262"/>
      <c r="F221" s="6"/>
      <c r="G221" s="2"/>
      <c r="H221" s="6"/>
      <c r="I221" s="46"/>
      <c r="J221" s="2"/>
      <c r="K221" s="47"/>
      <c r="L221" s="3"/>
      <c r="M221" s="1"/>
      <c r="N221" s="4"/>
      <c r="O221" s="5"/>
      <c r="P221" s="6"/>
      <c r="Q221" s="48"/>
      <c r="R221" s="262"/>
      <c r="S221" s="262"/>
      <c r="T221" s="49"/>
      <c r="U221" s="49"/>
      <c r="W221" s="70"/>
      <c r="X221" s="70"/>
    </row>
    <row r="222" spans="1:24" s="69" customFormat="1" ht="15.75" customHeight="1">
      <c r="A222" s="50"/>
      <c r="B222" s="51"/>
      <c r="C222" s="52"/>
      <c r="D222" s="53"/>
      <c r="E222" s="267"/>
      <c r="F222" s="54"/>
      <c r="G222" s="55"/>
      <c r="H222" s="54"/>
      <c r="I222" s="56"/>
      <c r="J222" s="55"/>
      <c r="K222" s="57"/>
      <c r="L222" s="58"/>
      <c r="M222" s="59"/>
      <c r="N222" s="60"/>
      <c r="O222" s="85"/>
      <c r="P222" s="54"/>
      <c r="Q222" s="61"/>
      <c r="R222" s="267"/>
      <c r="S222" s="267"/>
      <c r="T222" s="62"/>
      <c r="U222" s="62"/>
      <c r="W222" s="70"/>
      <c r="X222" s="70"/>
    </row>
    <row r="223" spans="1:24" s="69" customFormat="1" ht="12.75" customHeight="1">
      <c r="A223" s="91"/>
      <c r="B223" s="92"/>
      <c r="C223" s="93" t="s">
        <v>27</v>
      </c>
      <c r="D223" s="94"/>
      <c r="E223" s="95"/>
      <c r="F223" s="96"/>
      <c r="G223" s="97"/>
      <c r="H223" s="96"/>
      <c r="I223" s="98"/>
      <c r="J223" s="97"/>
      <c r="K223" s="99"/>
      <c r="L223" s="100"/>
      <c r="M223" s="101"/>
      <c r="N223" s="102"/>
      <c r="O223" s="103"/>
      <c r="P223" s="96"/>
      <c r="Q223" s="97"/>
      <c r="R223" s="103"/>
      <c r="S223" s="103"/>
      <c r="T223" s="104">
        <f>SUM(T182:T222)</f>
        <v>0</v>
      </c>
      <c r="U223" s="373">
        <v>3.4799999999999998E-2</v>
      </c>
      <c r="W223" s="70"/>
      <c r="X223" s="70"/>
    </row>
    <row r="224" spans="1:24" s="69" customFormat="1" ht="12.75" customHeight="1">
      <c r="A224" s="44"/>
      <c r="B224" s="43"/>
      <c r="C224" s="118"/>
      <c r="D224" s="45"/>
      <c r="E224" s="262"/>
      <c r="F224" s="6"/>
      <c r="G224" s="2"/>
      <c r="H224" s="6"/>
      <c r="I224" s="46"/>
      <c r="J224" s="2"/>
      <c r="K224" s="47"/>
      <c r="L224" s="3"/>
      <c r="M224" s="1"/>
      <c r="N224" s="4"/>
      <c r="O224" s="5"/>
      <c r="P224" s="6"/>
      <c r="Q224" s="2"/>
      <c r="R224" s="5"/>
      <c r="S224" s="5"/>
      <c r="T224" s="119"/>
      <c r="U224" s="119"/>
      <c r="W224" s="70"/>
      <c r="X224" s="70"/>
    </row>
    <row r="225" spans="1:24" s="69" customFormat="1" ht="12.75" customHeight="1">
      <c r="A225" s="115"/>
      <c r="B225" s="92"/>
      <c r="C225" s="116" t="s">
        <v>27</v>
      </c>
      <c r="D225" s="94"/>
      <c r="E225" s="117"/>
      <c r="F225" s="96"/>
      <c r="G225" s="97"/>
      <c r="H225" s="96"/>
      <c r="I225" s="96"/>
      <c r="J225" s="97"/>
      <c r="K225" s="96"/>
      <c r="L225" s="100"/>
      <c r="M225" s="101"/>
      <c r="N225" s="102"/>
      <c r="O225" s="103"/>
      <c r="P225" s="96"/>
      <c r="Q225" s="97"/>
      <c r="R225" s="103"/>
      <c r="S225" s="103"/>
      <c r="T225" s="104">
        <f>T180+T48+T223</f>
        <v>0</v>
      </c>
      <c r="U225" s="104"/>
      <c r="W225" s="70"/>
      <c r="X225" s="70"/>
    </row>
    <row r="226" spans="1:24" s="2" customFormat="1" ht="12.75" customHeight="1">
      <c r="A226" s="131"/>
      <c r="B226" s="43"/>
      <c r="C226" s="371" t="s">
        <v>157</v>
      </c>
      <c r="D226" s="371"/>
      <c r="E226" s="371"/>
      <c r="F226" s="6"/>
      <c r="H226" s="6"/>
      <c r="I226" s="6"/>
      <c r="K226" s="6"/>
      <c r="L226" s="3"/>
      <c r="M226" s="1"/>
      <c r="N226" s="4"/>
      <c r="O226" s="5"/>
      <c r="P226" s="6"/>
      <c r="R226" s="5"/>
      <c r="S226" s="5"/>
      <c r="T226" s="133"/>
      <c r="U226" s="133"/>
      <c r="V226" s="69"/>
      <c r="W226" s="70"/>
      <c r="X226" s="70"/>
    </row>
    <row r="227" spans="1:24" s="2" customFormat="1" ht="12.75" customHeight="1">
      <c r="A227" s="131"/>
      <c r="B227" s="43"/>
      <c r="C227" s="132"/>
      <c r="D227" s="45"/>
      <c r="E227" s="5"/>
      <c r="F227" s="6"/>
      <c r="H227" s="6"/>
      <c r="I227" s="6"/>
      <c r="K227" s="6"/>
      <c r="L227" s="3"/>
      <c r="M227" s="1"/>
      <c r="N227" s="4"/>
      <c r="O227" s="5"/>
      <c r="P227" s="6"/>
      <c r="R227" s="5"/>
      <c r="S227" s="5"/>
      <c r="T227" s="133"/>
      <c r="U227" s="133"/>
      <c r="V227" s="69"/>
      <c r="W227" s="70"/>
      <c r="X227" s="70"/>
    </row>
    <row r="228" spans="1:24" s="2" customFormat="1" ht="12.75" customHeight="1">
      <c r="A228" s="134"/>
      <c r="B228" s="305" t="s">
        <v>46</v>
      </c>
      <c r="C228" s="306"/>
      <c r="D228" s="306"/>
      <c r="E228" s="137"/>
      <c r="F228" s="135"/>
      <c r="G228" s="135"/>
      <c r="H228" s="135"/>
      <c r="I228" s="136"/>
      <c r="J228" s="135"/>
      <c r="K228" s="137"/>
      <c r="L228" s="139"/>
      <c r="M228" s="139"/>
      <c r="N228" s="139"/>
      <c r="O228" s="139"/>
      <c r="P228" s="139"/>
      <c r="Q228" s="139"/>
      <c r="R228" s="139"/>
      <c r="S228" s="135"/>
      <c r="T228" s="138"/>
      <c r="U228" s="138"/>
      <c r="V228" s="69"/>
      <c r="W228" s="70"/>
      <c r="X228" s="70"/>
    </row>
    <row r="229" spans="1:24" s="2" customFormat="1" ht="12.75" customHeight="1">
      <c r="A229" s="63">
        <v>1</v>
      </c>
      <c r="B229" s="274" t="s">
        <v>113</v>
      </c>
      <c r="C229" s="281" t="s">
        <v>117</v>
      </c>
      <c r="D229" s="32" t="s">
        <v>25</v>
      </c>
      <c r="E229" s="143">
        <f>540/100</f>
        <v>5.4</v>
      </c>
      <c r="F229" s="33"/>
      <c r="G229" s="34">
        <v>7.7</v>
      </c>
      <c r="H229" s="33"/>
      <c r="I229" s="35"/>
      <c r="J229" s="34">
        <v>1.7</v>
      </c>
      <c r="K229" s="36"/>
      <c r="L229" s="37"/>
      <c r="M229" s="38"/>
      <c r="N229" s="39"/>
      <c r="O229" s="105"/>
      <c r="P229" s="40"/>
      <c r="Q229" s="41"/>
      <c r="R229" s="42">
        <f>G230+J230</f>
        <v>19.05301</v>
      </c>
      <c r="S229" s="261">
        <f>(R229+R230)*U229</f>
        <v>0</v>
      </c>
      <c r="T229" s="263">
        <f>E229*S229</f>
        <v>0</v>
      </c>
      <c r="U229" s="277"/>
      <c r="V229" s="69"/>
      <c r="W229" s="70"/>
      <c r="X229" s="70"/>
    </row>
    <row r="230" spans="1:24" ht="12">
      <c r="A230" s="44"/>
      <c r="B230" s="275"/>
      <c r="C230" s="282"/>
      <c r="E230" s="262"/>
      <c r="G230" s="34">
        <f>G229*$J$13/1000</f>
        <v>14.644553000000002</v>
      </c>
      <c r="I230" s="46"/>
      <c r="J230" s="34">
        <f>J229*$Q$13/1000</f>
        <v>4.4084570000000003</v>
      </c>
      <c r="K230" s="47"/>
      <c r="Q230" s="48"/>
      <c r="R230" s="262"/>
      <c r="S230" s="262"/>
      <c r="T230" s="49"/>
      <c r="U230" s="49"/>
    </row>
    <row r="231" spans="1:24" ht="12" hidden="1">
      <c r="A231" s="44"/>
      <c r="C231" s="282"/>
      <c r="E231" s="262"/>
      <c r="I231" s="46"/>
      <c r="K231" s="47"/>
      <c r="Q231" s="48"/>
      <c r="R231" s="262"/>
      <c r="S231" s="262"/>
      <c r="T231" s="49"/>
      <c r="U231" s="49"/>
    </row>
    <row r="232" spans="1:24">
      <c r="A232" s="50"/>
      <c r="B232" s="51"/>
      <c r="C232" s="52"/>
      <c r="D232" s="53"/>
      <c r="E232" s="267"/>
      <c r="F232" s="54"/>
      <c r="G232" s="55"/>
      <c r="H232" s="54"/>
      <c r="I232" s="56"/>
      <c r="J232" s="55"/>
      <c r="K232" s="57"/>
      <c r="L232" s="58"/>
      <c r="M232" s="59"/>
      <c r="N232" s="60"/>
      <c r="O232" s="85"/>
      <c r="P232" s="54"/>
      <c r="Q232" s="61"/>
      <c r="R232" s="267"/>
      <c r="S232" s="267"/>
      <c r="T232" s="62"/>
      <c r="U232" s="62"/>
    </row>
    <row r="233" spans="1:24" ht="12">
      <c r="A233" s="63">
        <f>A229+1</f>
        <v>2</v>
      </c>
      <c r="B233" s="274" t="s">
        <v>63</v>
      </c>
      <c r="C233" s="281" t="s">
        <v>64</v>
      </c>
      <c r="D233" s="32" t="s">
        <v>65</v>
      </c>
      <c r="E233" s="261">
        <f>106.4/100</f>
        <v>1.0640000000000001</v>
      </c>
      <c r="F233" s="33"/>
      <c r="G233" s="34">
        <f>15.9*0.5</f>
        <v>7.95</v>
      </c>
      <c r="H233" s="33"/>
      <c r="I233" s="35"/>
      <c r="J233" s="34">
        <f>0.41*0.5</f>
        <v>0.20499999999999999</v>
      </c>
      <c r="K233" s="36"/>
      <c r="L233" s="64"/>
      <c r="M233" s="65"/>
      <c r="N233" s="66"/>
      <c r="O233" s="67"/>
      <c r="P233" s="33"/>
      <c r="Q233" s="68"/>
      <c r="R233" s="42">
        <f>G234+J234</f>
        <v>15.651633550000001</v>
      </c>
      <c r="S233" s="283">
        <f>(R233+R234)*U233</f>
        <v>0</v>
      </c>
      <c r="T233" s="285">
        <f>E233*S233</f>
        <v>0</v>
      </c>
      <c r="U233" s="285"/>
    </row>
    <row r="234" spans="1:24" ht="12">
      <c r="A234" s="44"/>
      <c r="B234" s="275" t="s">
        <v>66</v>
      </c>
      <c r="C234" s="282"/>
      <c r="E234" s="262"/>
      <c r="G234" s="34">
        <f>G233*$J$13/1000</f>
        <v>15.120025500000002</v>
      </c>
      <c r="I234" s="46"/>
      <c r="J234" s="34">
        <f>J233*$Q$13/1000</f>
        <v>0.53160804999999989</v>
      </c>
      <c r="K234" s="47"/>
      <c r="L234" s="287"/>
      <c r="M234" s="71"/>
      <c r="N234" s="72"/>
      <c r="O234" s="72"/>
      <c r="P234" s="73"/>
      <c r="Q234" s="74"/>
      <c r="R234" s="283">
        <f>SUM(Q234:Q236)</f>
        <v>0</v>
      </c>
      <c r="S234" s="284"/>
      <c r="T234" s="286"/>
      <c r="U234" s="286"/>
    </row>
    <row r="235" spans="1:24" ht="0.75" customHeight="1">
      <c r="A235" s="44"/>
      <c r="C235" s="282"/>
      <c r="E235" s="262"/>
      <c r="I235" s="46"/>
      <c r="K235" s="47"/>
      <c r="L235" s="301"/>
      <c r="M235" s="75"/>
      <c r="N235" s="76"/>
      <c r="O235" s="77"/>
      <c r="P235" s="78"/>
      <c r="Q235" s="79"/>
      <c r="R235" s="284"/>
      <c r="S235" s="284"/>
      <c r="T235" s="286"/>
      <c r="U235" s="286"/>
    </row>
    <row r="236" spans="1:24" ht="12" hidden="1">
      <c r="A236" s="44"/>
      <c r="C236" s="282"/>
      <c r="E236" s="262"/>
      <c r="I236" s="46"/>
      <c r="K236" s="47"/>
      <c r="L236" s="268"/>
      <c r="M236" s="106"/>
      <c r="N236" s="107"/>
      <c r="O236" s="107"/>
      <c r="P236" s="108"/>
      <c r="Q236" s="109"/>
      <c r="R236" s="284"/>
      <c r="S236" s="284"/>
      <c r="T236" s="286"/>
      <c r="U236" s="286"/>
    </row>
    <row r="237" spans="1:24">
      <c r="A237" s="50"/>
      <c r="B237" s="51"/>
      <c r="C237" s="52"/>
      <c r="D237" s="53"/>
      <c r="E237" s="267"/>
      <c r="F237" s="54"/>
      <c r="G237" s="55"/>
      <c r="H237" s="54"/>
      <c r="I237" s="56"/>
      <c r="J237" s="55"/>
      <c r="K237" s="57"/>
      <c r="L237" s="58"/>
      <c r="M237" s="59"/>
      <c r="N237" s="60"/>
      <c r="O237" s="85"/>
      <c r="P237" s="54"/>
      <c r="Q237" s="61"/>
      <c r="R237" s="267"/>
      <c r="S237" s="267"/>
      <c r="T237" s="62"/>
      <c r="U237" s="62"/>
    </row>
    <row r="238" spans="1:24" ht="12">
      <c r="A238" s="63">
        <f>A233+1</f>
        <v>3</v>
      </c>
      <c r="B238" s="274" t="s">
        <v>38</v>
      </c>
      <c r="C238" s="281" t="s">
        <v>67</v>
      </c>
      <c r="D238" s="32" t="s">
        <v>24</v>
      </c>
      <c r="E238" s="261">
        <v>9</v>
      </c>
      <c r="F238" s="33"/>
      <c r="G238" s="34">
        <f>12.6*0.8</f>
        <v>10.08</v>
      </c>
      <c r="H238" s="33"/>
      <c r="I238" s="35"/>
      <c r="J238" s="34">
        <f>2.1*0.8</f>
        <v>1.6800000000000002</v>
      </c>
      <c r="K238" s="36"/>
      <c r="L238" s="64"/>
      <c r="M238" s="65"/>
      <c r="N238" s="66"/>
      <c r="O238" s="67"/>
      <c r="P238" s="33"/>
      <c r="Q238" s="68"/>
      <c r="R238" s="42">
        <f>G239+J239</f>
        <v>23.527644000000002</v>
      </c>
      <c r="S238" s="283">
        <f>(R238+R239)*U238</f>
        <v>0</v>
      </c>
      <c r="T238" s="285">
        <f>E238*S238</f>
        <v>0</v>
      </c>
      <c r="U238" s="285"/>
    </row>
    <row r="239" spans="1:24" ht="11.25" customHeight="1">
      <c r="A239" s="44"/>
      <c r="B239" s="275" t="s">
        <v>33</v>
      </c>
      <c r="C239" s="282"/>
      <c r="E239" s="262"/>
      <c r="G239" s="34">
        <f>G238*$J$13/1000</f>
        <v>19.171051200000001</v>
      </c>
      <c r="I239" s="46"/>
      <c r="J239" s="34">
        <f>J238*$Q$13/1000</f>
        <v>4.3565928000000005</v>
      </c>
      <c r="K239" s="47"/>
      <c r="L239" s="265"/>
      <c r="M239" s="71"/>
      <c r="N239" s="72"/>
      <c r="O239" s="72"/>
      <c r="P239" s="73"/>
      <c r="Q239" s="74"/>
      <c r="R239" s="283"/>
      <c r="S239" s="284"/>
      <c r="T239" s="286"/>
      <c r="U239" s="286"/>
    </row>
    <row r="240" spans="1:24" ht="12" hidden="1">
      <c r="A240" s="44"/>
      <c r="C240" s="282"/>
      <c r="E240" s="262"/>
      <c r="I240" s="46"/>
      <c r="K240" s="47"/>
      <c r="L240" s="268"/>
      <c r="M240" s="106"/>
      <c r="N240" s="107"/>
      <c r="O240" s="107"/>
      <c r="P240" s="108"/>
      <c r="Q240" s="109"/>
      <c r="R240" s="284"/>
      <c r="S240" s="284"/>
      <c r="T240" s="286"/>
      <c r="U240" s="286"/>
    </row>
    <row r="241" spans="1:21" ht="12">
      <c r="A241" s="44"/>
      <c r="B241" s="43" t="s">
        <v>112</v>
      </c>
      <c r="C241" s="282"/>
      <c r="E241" s="262"/>
      <c r="I241" s="46"/>
      <c r="K241" s="47"/>
      <c r="L241" s="268"/>
      <c r="M241" s="106"/>
      <c r="N241" s="107"/>
      <c r="O241" s="107"/>
      <c r="P241" s="108"/>
      <c r="Q241" s="109"/>
      <c r="R241" s="284"/>
      <c r="S241" s="284"/>
      <c r="T241" s="286"/>
      <c r="U241" s="286"/>
    </row>
    <row r="242" spans="1:21" ht="12">
      <c r="A242" s="63">
        <f>A238+1</f>
        <v>4</v>
      </c>
      <c r="B242" s="274" t="s">
        <v>109</v>
      </c>
      <c r="C242" s="281" t="s">
        <v>126</v>
      </c>
      <c r="D242" s="32" t="s">
        <v>65</v>
      </c>
      <c r="E242" s="261">
        <f>E317*N318/100</f>
        <v>1.04</v>
      </c>
      <c r="F242" s="33"/>
      <c r="G242" s="34">
        <v>5.0199999999999996</v>
      </c>
      <c r="H242" s="33"/>
      <c r="I242" s="35"/>
      <c r="J242" s="173">
        <v>0.12</v>
      </c>
      <c r="K242" s="36"/>
      <c r="L242" s="64"/>
      <c r="M242" s="65"/>
      <c r="N242" s="66"/>
      <c r="O242" s="67"/>
      <c r="P242" s="33"/>
      <c r="Q242" s="68"/>
      <c r="R242" s="42">
        <f>G243+J243</f>
        <v>9.8586729999999996</v>
      </c>
      <c r="S242" s="283">
        <f>(R242+R243)*U242</f>
        <v>0</v>
      </c>
      <c r="T242" s="285">
        <f>E242*S242</f>
        <v>0</v>
      </c>
      <c r="U242" s="285"/>
    </row>
    <row r="243" spans="1:21" ht="11.25" customHeight="1">
      <c r="A243" s="44"/>
      <c r="C243" s="282"/>
      <c r="E243" s="262"/>
      <c r="G243" s="34">
        <f>G242*$J$13/1000</f>
        <v>9.547487799999999</v>
      </c>
      <c r="I243" s="46"/>
      <c r="J243" s="34">
        <f>J242*$Q$13/1000</f>
        <v>0.3111852</v>
      </c>
      <c r="K243" s="47"/>
      <c r="L243" s="265"/>
      <c r="M243" s="71"/>
      <c r="N243" s="72"/>
      <c r="O243" s="72"/>
      <c r="P243" s="73"/>
      <c r="Q243" s="74"/>
      <c r="R243" s="283"/>
      <c r="S243" s="284"/>
      <c r="T243" s="286"/>
      <c r="U243" s="286"/>
    </row>
    <row r="244" spans="1:21" ht="12" hidden="1">
      <c r="A244" s="44"/>
      <c r="C244" s="282"/>
      <c r="E244" s="262"/>
      <c r="I244" s="46"/>
      <c r="K244" s="47"/>
      <c r="L244" s="268"/>
      <c r="M244" s="106"/>
      <c r="N244" s="107"/>
      <c r="O244" s="107"/>
      <c r="P244" s="108"/>
      <c r="Q244" s="109"/>
      <c r="R244" s="284"/>
      <c r="S244" s="284"/>
      <c r="T244" s="286"/>
      <c r="U244" s="286"/>
    </row>
    <row r="245" spans="1:21" ht="12">
      <c r="A245" s="50"/>
      <c r="B245" s="51"/>
      <c r="C245" s="289"/>
      <c r="D245" s="53"/>
      <c r="E245" s="267"/>
      <c r="F245" s="54"/>
      <c r="G245" s="55"/>
      <c r="H245" s="54"/>
      <c r="I245" s="56"/>
      <c r="J245" s="55"/>
      <c r="K245" s="57"/>
      <c r="L245" s="147"/>
      <c r="M245" s="148"/>
      <c r="N245" s="149"/>
      <c r="O245" s="149"/>
      <c r="P245" s="150"/>
      <c r="Q245" s="151"/>
      <c r="R245" s="290"/>
      <c r="S245" s="284"/>
      <c r="T245" s="359"/>
      <c r="U245" s="359"/>
    </row>
    <row r="246" spans="1:21" ht="12">
      <c r="A246" s="63">
        <f>A242+1</f>
        <v>5</v>
      </c>
      <c r="B246" s="274" t="s">
        <v>110</v>
      </c>
      <c r="C246" s="281" t="s">
        <v>69</v>
      </c>
      <c r="D246" s="32" t="s">
        <v>59</v>
      </c>
      <c r="E246" s="261">
        <v>4</v>
      </c>
      <c r="F246" s="33"/>
      <c r="G246" s="34">
        <v>1.1599999999999999</v>
      </c>
      <c r="H246" s="33"/>
      <c r="I246" s="35"/>
      <c r="J246" s="174">
        <v>5.8200000000000002E-2</v>
      </c>
      <c r="K246" s="36"/>
      <c r="L246" s="64"/>
      <c r="M246" s="65"/>
      <c r="N246" s="66"/>
      <c r="O246" s="67"/>
      <c r="P246" s="33"/>
      <c r="Q246" s="68"/>
      <c r="R246" s="42">
        <f>G247+J247</f>
        <v>2.3571172219999998</v>
      </c>
      <c r="S246" s="283">
        <f>(R246+R247)*U246</f>
        <v>0</v>
      </c>
      <c r="T246" s="285">
        <f>E246*S246</f>
        <v>0</v>
      </c>
      <c r="U246" s="285"/>
    </row>
    <row r="247" spans="1:21" ht="11.25" customHeight="1">
      <c r="A247" s="44"/>
      <c r="B247" s="275"/>
      <c r="C247" s="282"/>
      <c r="E247" s="262"/>
      <c r="G247" s="34">
        <f>G246*$J$13/1000</f>
        <v>2.2061923999999999</v>
      </c>
      <c r="I247" s="46"/>
      <c r="J247" s="34">
        <f>J246*$Q$13/1000</f>
        <v>0.15092482200000001</v>
      </c>
      <c r="K247" s="47"/>
      <c r="L247" s="287"/>
      <c r="M247" s="71"/>
      <c r="N247" s="72"/>
      <c r="O247" s="72"/>
      <c r="P247" s="73"/>
      <c r="Q247" s="74"/>
      <c r="R247" s="283">
        <f>SUM(Q247:Q248)</f>
        <v>0</v>
      </c>
      <c r="S247" s="284"/>
      <c r="T247" s="286"/>
      <c r="U247" s="286"/>
    </row>
    <row r="248" spans="1:21" ht="12" hidden="1">
      <c r="A248" s="44"/>
      <c r="C248" s="282"/>
      <c r="E248" s="262"/>
      <c r="I248" s="46"/>
      <c r="K248" s="47"/>
      <c r="L248" s="301"/>
      <c r="M248" s="75"/>
      <c r="N248" s="76"/>
      <c r="O248" s="77"/>
      <c r="P248" s="78"/>
      <c r="Q248" s="79"/>
      <c r="R248" s="284"/>
      <c r="S248" s="284"/>
      <c r="T248" s="286"/>
      <c r="U248" s="286"/>
    </row>
    <row r="249" spans="1:21">
      <c r="A249" s="50"/>
      <c r="B249" s="51"/>
      <c r="C249" s="52"/>
      <c r="D249" s="53"/>
      <c r="E249" s="267"/>
      <c r="F249" s="54"/>
      <c r="G249" s="55"/>
      <c r="H249" s="54"/>
      <c r="I249" s="56"/>
      <c r="J249" s="55"/>
      <c r="K249" s="57"/>
      <c r="L249" s="58"/>
      <c r="M249" s="59"/>
      <c r="N249" s="60"/>
      <c r="O249" s="85"/>
      <c r="P249" s="54"/>
      <c r="Q249" s="61"/>
      <c r="R249" s="267"/>
      <c r="S249" s="267"/>
      <c r="T249" s="62"/>
      <c r="U249" s="62"/>
    </row>
    <row r="250" spans="1:21" ht="12">
      <c r="A250" s="63">
        <f>A246+1</f>
        <v>6</v>
      </c>
      <c r="B250" s="303" t="s">
        <v>118</v>
      </c>
      <c r="C250" s="281" t="s">
        <v>129</v>
      </c>
      <c r="D250" s="32" t="s">
        <v>26</v>
      </c>
      <c r="E250" s="261">
        <v>6.8</v>
      </c>
      <c r="F250" s="33"/>
      <c r="G250" s="34">
        <v>0.36</v>
      </c>
      <c r="H250" s="33"/>
      <c r="I250" s="35"/>
      <c r="J250" s="34">
        <v>0.9</v>
      </c>
      <c r="K250" s="36"/>
      <c r="L250" s="37"/>
      <c r="M250" s="38"/>
      <c r="N250" s="39"/>
      <c r="O250" s="39"/>
      <c r="P250" s="40"/>
      <c r="Q250" s="41"/>
      <c r="R250" s="42">
        <f>G251+J251</f>
        <v>3.0185694000000001</v>
      </c>
      <c r="S250" s="261">
        <f>(R250+R251)*U250</f>
        <v>0</v>
      </c>
      <c r="T250" s="263">
        <f>E250*S250</f>
        <v>0</v>
      </c>
      <c r="U250" s="277"/>
    </row>
    <row r="251" spans="1:21" ht="12">
      <c r="A251" s="44"/>
      <c r="B251" s="304"/>
      <c r="C251" s="282"/>
      <c r="D251" s="144"/>
      <c r="E251" s="142"/>
      <c r="G251" s="34">
        <f>G250*$J$13/1000</f>
        <v>0.68468039999999997</v>
      </c>
      <c r="I251" s="46"/>
      <c r="J251" s="34">
        <f>J250*$Q$13/1000</f>
        <v>2.3338890000000001</v>
      </c>
      <c r="K251" s="47"/>
      <c r="O251" s="4"/>
      <c r="R251" s="261"/>
      <c r="S251" s="142"/>
      <c r="T251" s="49"/>
      <c r="U251" s="49"/>
    </row>
    <row r="252" spans="1:21" ht="12">
      <c r="A252" s="50"/>
      <c r="B252" s="51"/>
      <c r="C252" s="289"/>
      <c r="D252" s="145"/>
      <c r="E252" s="141"/>
      <c r="F252" s="54"/>
      <c r="G252" s="55"/>
      <c r="H252" s="54"/>
      <c r="I252" s="56"/>
      <c r="J252" s="55"/>
      <c r="K252" s="57"/>
      <c r="L252" s="58"/>
      <c r="M252" s="59"/>
      <c r="N252" s="60"/>
      <c r="O252" s="60"/>
      <c r="P252" s="54"/>
      <c r="Q252" s="55"/>
      <c r="R252" s="267"/>
      <c r="S252" s="85"/>
      <c r="T252" s="62"/>
      <c r="U252" s="62"/>
    </row>
    <row r="253" spans="1:21" ht="12">
      <c r="A253" s="63">
        <f>A250+1</f>
        <v>7</v>
      </c>
      <c r="B253" s="303" t="s">
        <v>127</v>
      </c>
      <c r="C253" s="281" t="s">
        <v>130</v>
      </c>
      <c r="D253" s="32" t="s">
        <v>26</v>
      </c>
      <c r="E253" s="261">
        <v>9.8000000000000007</v>
      </c>
      <c r="F253" s="33"/>
      <c r="G253" s="34">
        <f>0.81+0.36</f>
        <v>1.17</v>
      </c>
      <c r="H253" s="33"/>
      <c r="I253" s="35"/>
      <c r="J253" s="34">
        <v>0.9</v>
      </c>
      <c r="K253" s="36"/>
      <c r="L253" s="37"/>
      <c r="M253" s="38"/>
      <c r="N253" s="39"/>
      <c r="O253" s="39"/>
      <c r="P253" s="40"/>
      <c r="Q253" s="41"/>
      <c r="R253" s="42">
        <f>G254+J254</f>
        <v>4.5591002999999999</v>
      </c>
      <c r="S253" s="261">
        <f>(R253+R254)*U253</f>
        <v>0</v>
      </c>
      <c r="T253" s="263">
        <f>E253*S253</f>
        <v>0</v>
      </c>
      <c r="U253" s="277"/>
    </row>
    <row r="254" spans="1:21" ht="12">
      <c r="A254" s="44"/>
      <c r="B254" s="304"/>
      <c r="C254" s="282"/>
      <c r="D254" s="144"/>
      <c r="E254" s="142"/>
      <c r="G254" s="34">
        <f>G253*$J$13/1000</f>
        <v>2.2252112999999998</v>
      </c>
      <c r="I254" s="46"/>
      <c r="J254" s="34">
        <f>J253*$Q$13/1000</f>
        <v>2.3338890000000001</v>
      </c>
      <c r="K254" s="47"/>
      <c r="O254" s="4"/>
      <c r="R254" s="261"/>
      <c r="S254" s="142"/>
      <c r="T254" s="49"/>
      <c r="U254" s="49"/>
    </row>
    <row r="255" spans="1:21" ht="12">
      <c r="A255" s="50"/>
      <c r="B255" s="51"/>
      <c r="C255" s="289"/>
      <c r="D255" s="145"/>
      <c r="E255" s="141"/>
      <c r="F255" s="54"/>
      <c r="G255" s="55"/>
      <c r="H255" s="54"/>
      <c r="I255" s="56"/>
      <c r="J255" s="55"/>
      <c r="K255" s="57"/>
      <c r="L255" s="58"/>
      <c r="M255" s="59"/>
      <c r="N255" s="60"/>
      <c r="O255" s="60"/>
      <c r="P255" s="54"/>
      <c r="Q255" s="55"/>
      <c r="R255" s="267"/>
      <c r="S255" s="85"/>
      <c r="T255" s="62"/>
      <c r="U255" s="62"/>
    </row>
    <row r="256" spans="1:21" ht="12">
      <c r="A256" s="91"/>
      <c r="B256" s="92"/>
      <c r="C256" s="93" t="s">
        <v>27</v>
      </c>
      <c r="D256" s="94"/>
      <c r="E256" s="95"/>
      <c r="F256" s="96"/>
      <c r="G256" s="97"/>
      <c r="H256" s="96"/>
      <c r="I256" s="98"/>
      <c r="J256" s="97"/>
      <c r="K256" s="99"/>
      <c r="L256" s="100"/>
      <c r="M256" s="101"/>
      <c r="N256" s="102"/>
      <c r="O256" s="103"/>
      <c r="P256" s="96"/>
      <c r="Q256" s="97"/>
      <c r="R256" s="103"/>
      <c r="S256" s="103"/>
      <c r="T256" s="104">
        <f>SUM(T229:T255)</f>
        <v>0</v>
      </c>
      <c r="U256" s="373">
        <v>3.1199999999999999E-2</v>
      </c>
    </row>
    <row r="257" spans="1:21">
      <c r="A257" s="110"/>
      <c r="B257" s="305" t="s">
        <v>70</v>
      </c>
      <c r="C257" s="306"/>
      <c r="D257" s="306"/>
      <c r="E257" s="111"/>
      <c r="F257" s="112"/>
      <c r="G257" s="112"/>
      <c r="H257" s="112"/>
      <c r="I257" s="113"/>
      <c r="J257" s="112"/>
      <c r="K257" s="111"/>
      <c r="L257" s="112"/>
      <c r="M257" s="112"/>
      <c r="N257" s="112"/>
      <c r="O257" s="112"/>
      <c r="P257" s="112"/>
      <c r="Q257" s="112"/>
      <c r="R257" s="112"/>
      <c r="S257" s="112"/>
      <c r="T257" s="114"/>
      <c r="U257" s="114"/>
    </row>
    <row r="258" spans="1:21" ht="12">
      <c r="A258" s="63">
        <v>1</v>
      </c>
      <c r="B258" s="274" t="s">
        <v>38</v>
      </c>
      <c r="C258" s="281" t="s">
        <v>71</v>
      </c>
      <c r="D258" s="32" t="s">
        <v>24</v>
      </c>
      <c r="E258" s="261">
        <v>3.6</v>
      </c>
      <c r="F258" s="33"/>
      <c r="G258" s="34">
        <v>12.6</v>
      </c>
      <c r="H258" s="33"/>
      <c r="I258" s="35"/>
      <c r="J258" s="34">
        <v>2.1</v>
      </c>
      <c r="K258" s="36"/>
      <c r="L258" s="64"/>
      <c r="M258" s="65"/>
      <c r="N258" s="66"/>
      <c r="O258" s="67"/>
      <c r="P258" s="33"/>
      <c r="Q258" s="68"/>
      <c r="R258" s="42">
        <f>G259+J259</f>
        <v>29.409555000000005</v>
      </c>
      <c r="S258" s="283">
        <f>(R258+R259)*U258</f>
        <v>0</v>
      </c>
      <c r="T258" s="285">
        <f>E258*S258</f>
        <v>0</v>
      </c>
      <c r="U258" s="285"/>
    </row>
    <row r="259" spans="1:21" ht="12">
      <c r="A259" s="44"/>
      <c r="B259" s="275" t="s">
        <v>33</v>
      </c>
      <c r="C259" s="282"/>
      <c r="E259" s="262"/>
      <c r="G259" s="34">
        <f>G258*$J$13/1000</f>
        <v>23.963814000000003</v>
      </c>
      <c r="I259" s="46"/>
      <c r="J259" s="34">
        <f>J258*$Q$13/1000</f>
        <v>5.4457409999999999</v>
      </c>
      <c r="K259" s="47"/>
      <c r="L259" s="265" t="s">
        <v>39</v>
      </c>
      <c r="M259" s="71" t="s">
        <v>29</v>
      </c>
      <c r="N259" s="72">
        <v>4.38</v>
      </c>
      <c r="O259" s="72">
        <f>E258*N259</f>
        <v>15.768000000000001</v>
      </c>
      <c r="P259" s="73">
        <v>0.4</v>
      </c>
      <c r="Q259" s="74">
        <f>N259*P259*$N$11</f>
        <v>1.9996709544000004</v>
      </c>
      <c r="R259" s="283">
        <f>SUM(Q259:Q263)</f>
        <v>158.72679248548502</v>
      </c>
      <c r="S259" s="284"/>
      <c r="T259" s="286"/>
      <c r="U259" s="286"/>
    </row>
    <row r="260" spans="1:21" ht="12">
      <c r="A260" s="44"/>
      <c r="C260" s="282"/>
      <c r="E260" s="262"/>
      <c r="I260" s="46"/>
      <c r="K260" s="47"/>
      <c r="L260" s="268" t="s">
        <v>40</v>
      </c>
      <c r="M260" s="106" t="s">
        <v>29</v>
      </c>
      <c r="N260" s="107">
        <v>1.96</v>
      </c>
      <c r="O260" s="107">
        <f>E258*N260</f>
        <v>7.056</v>
      </c>
      <c r="P260" s="108">
        <v>1.1000000000000001</v>
      </c>
      <c r="Q260" s="109">
        <f>N260*P260*$N$11</f>
        <v>2.4607822932000007</v>
      </c>
      <c r="R260" s="284"/>
      <c r="S260" s="284"/>
      <c r="T260" s="286"/>
      <c r="U260" s="286"/>
    </row>
    <row r="261" spans="1:21" ht="12">
      <c r="A261" s="44"/>
      <c r="C261" s="282"/>
      <c r="E261" s="262"/>
      <c r="I261" s="46"/>
      <c r="K261" s="47"/>
      <c r="L261" s="268" t="s">
        <v>41</v>
      </c>
      <c r="M261" s="106" t="s">
        <v>29</v>
      </c>
      <c r="N261" s="107">
        <v>7.2</v>
      </c>
      <c r="O261" s="107">
        <f>E258*N261</f>
        <v>25.92</v>
      </c>
      <c r="P261" s="166">
        <v>0.436</v>
      </c>
      <c r="Q261" s="109">
        <f>N261*P261*$N$11</f>
        <v>3.5829720662400009</v>
      </c>
      <c r="R261" s="284"/>
      <c r="S261" s="284"/>
      <c r="T261" s="286"/>
      <c r="U261" s="286"/>
    </row>
    <row r="262" spans="1:21" ht="12">
      <c r="A262" s="44"/>
      <c r="C262" s="282"/>
      <c r="E262" s="262"/>
      <c r="I262" s="46"/>
      <c r="K262" s="47"/>
      <c r="L262" s="86" t="s">
        <v>119</v>
      </c>
      <c r="M262" s="87" t="s">
        <v>28</v>
      </c>
      <c r="N262" s="88">
        <v>3.38</v>
      </c>
      <c r="O262" s="88">
        <f>E258*N262</f>
        <v>12.167999999999999</v>
      </c>
      <c r="P262" s="166">
        <v>0.875</v>
      </c>
      <c r="Q262" s="90">
        <f>N262*P262*$N$11</f>
        <v>3.3755861002500005</v>
      </c>
      <c r="R262" s="284"/>
      <c r="S262" s="284"/>
      <c r="T262" s="286"/>
      <c r="U262" s="286"/>
    </row>
    <row r="263" spans="1:21" ht="12" hidden="1">
      <c r="A263" s="44"/>
      <c r="C263" s="282"/>
      <c r="E263" s="262"/>
      <c r="I263" s="46"/>
      <c r="K263" s="47"/>
      <c r="L263" s="86" t="s">
        <v>47</v>
      </c>
      <c r="M263" s="154" t="s">
        <v>24</v>
      </c>
      <c r="N263" s="155">
        <f>0.16+0.06+0.83</f>
        <v>1.05</v>
      </c>
      <c r="O263" s="155">
        <f>E258*N263</f>
        <v>3.7800000000000002</v>
      </c>
      <c r="P263" s="166">
        <v>122.917</v>
      </c>
      <c r="Q263" s="90">
        <f>N263*P263*$N$11</f>
        <v>147.30778107139503</v>
      </c>
      <c r="R263" s="262"/>
      <c r="S263" s="262"/>
      <c r="T263" s="264"/>
      <c r="U263" s="278"/>
    </row>
    <row r="264" spans="1:21" ht="25.5">
      <c r="A264" s="50"/>
      <c r="B264" s="51"/>
      <c r="C264" s="156" t="s">
        <v>72</v>
      </c>
      <c r="D264" s="53"/>
      <c r="E264" s="267"/>
      <c r="F264" s="54"/>
      <c r="G264" s="55"/>
      <c r="H264" s="54"/>
      <c r="I264" s="56"/>
      <c r="J264" s="55"/>
      <c r="K264" s="57"/>
      <c r="L264" s="58"/>
      <c r="M264" s="59"/>
      <c r="N264" s="60"/>
      <c r="O264" s="85"/>
      <c r="P264" s="54"/>
      <c r="Q264" s="61"/>
      <c r="R264" s="267"/>
      <c r="S264" s="267"/>
      <c r="T264" s="62"/>
      <c r="U264" s="62"/>
    </row>
    <row r="265" spans="1:21" ht="12">
      <c r="A265" s="63">
        <f>A258+1</f>
        <v>2</v>
      </c>
      <c r="B265" s="274" t="s">
        <v>38</v>
      </c>
      <c r="C265" s="281" t="s">
        <v>73</v>
      </c>
      <c r="D265" s="32" t="s">
        <v>24</v>
      </c>
      <c r="E265" s="162">
        <v>0.32400000000000001</v>
      </c>
      <c r="F265" s="33"/>
      <c r="G265" s="34">
        <v>12.6</v>
      </c>
      <c r="H265" s="33"/>
      <c r="I265" s="35"/>
      <c r="J265" s="34">
        <v>2.1</v>
      </c>
      <c r="K265" s="36"/>
      <c r="L265" s="64"/>
      <c r="M265" s="65"/>
      <c r="N265" s="66"/>
      <c r="O265" s="67"/>
      <c r="P265" s="33"/>
      <c r="Q265" s="68"/>
      <c r="R265" s="42">
        <f>G266+J266</f>
        <v>29.409555000000005</v>
      </c>
      <c r="S265" s="283">
        <f>(R265+R266)*U265</f>
        <v>0</v>
      </c>
      <c r="T265" s="285">
        <f>E265*S265</f>
        <v>0</v>
      </c>
      <c r="U265" s="285"/>
    </row>
    <row r="266" spans="1:21" ht="12">
      <c r="A266" s="44"/>
      <c r="B266" s="275" t="s">
        <v>33</v>
      </c>
      <c r="C266" s="282"/>
      <c r="E266" s="262"/>
      <c r="G266" s="34">
        <f>G265*$J$13/1000</f>
        <v>23.963814000000003</v>
      </c>
      <c r="I266" s="46"/>
      <c r="J266" s="34">
        <f>J265*$Q$13/1000</f>
        <v>5.4457409999999999</v>
      </c>
      <c r="K266" s="47"/>
      <c r="L266" s="265" t="s">
        <v>39</v>
      </c>
      <c r="M266" s="71" t="s">
        <v>29</v>
      </c>
      <c r="N266" s="72">
        <v>4.38</v>
      </c>
      <c r="O266" s="72">
        <f>E265*N266</f>
        <v>1.4191199999999999</v>
      </c>
      <c r="P266" s="73">
        <v>0.4</v>
      </c>
      <c r="Q266" s="74">
        <f>N266*P266*$N$11</f>
        <v>1.9996709544000004</v>
      </c>
      <c r="R266" s="283">
        <f>SUM(Q266:Q270)</f>
        <v>158.72679248548502</v>
      </c>
      <c r="S266" s="284"/>
      <c r="T266" s="286"/>
      <c r="U266" s="286"/>
    </row>
    <row r="267" spans="1:21" ht="2.25" customHeight="1">
      <c r="A267" s="44"/>
      <c r="C267" s="282"/>
      <c r="E267" s="262"/>
      <c r="I267" s="46"/>
      <c r="K267" s="47"/>
      <c r="L267" s="268" t="s">
        <v>40</v>
      </c>
      <c r="M267" s="106" t="s">
        <v>29</v>
      </c>
      <c r="N267" s="107">
        <v>1.96</v>
      </c>
      <c r="O267" s="107">
        <f>E265*N267</f>
        <v>0.63504000000000005</v>
      </c>
      <c r="P267" s="108">
        <v>1.1000000000000001</v>
      </c>
      <c r="Q267" s="109">
        <f>N267*P267*$N$11</f>
        <v>2.4607822932000007</v>
      </c>
      <c r="R267" s="284"/>
      <c r="S267" s="284"/>
      <c r="T267" s="286"/>
      <c r="U267" s="286"/>
    </row>
    <row r="268" spans="1:21" ht="12" hidden="1">
      <c r="A268" s="44"/>
      <c r="C268" s="282"/>
      <c r="E268" s="262"/>
      <c r="I268" s="46"/>
      <c r="K268" s="47"/>
      <c r="L268" s="268" t="s">
        <v>41</v>
      </c>
      <c r="M268" s="106" t="s">
        <v>29</v>
      </c>
      <c r="N268" s="107">
        <v>7.2</v>
      </c>
      <c r="O268" s="107">
        <f>E265*N268</f>
        <v>2.3328000000000002</v>
      </c>
      <c r="P268" s="166">
        <v>0.436</v>
      </c>
      <c r="Q268" s="109">
        <f>N268*P268*$N$11</f>
        <v>3.5829720662400009</v>
      </c>
      <c r="R268" s="284"/>
      <c r="S268" s="284"/>
      <c r="T268" s="286"/>
      <c r="U268" s="286"/>
    </row>
    <row r="269" spans="1:21" ht="12" hidden="1">
      <c r="A269" s="44"/>
      <c r="C269" s="282"/>
      <c r="E269" s="262"/>
      <c r="I269" s="46"/>
      <c r="K269" s="47"/>
      <c r="L269" s="86" t="s">
        <v>34</v>
      </c>
      <c r="M269" s="87" t="s">
        <v>28</v>
      </c>
      <c r="N269" s="88">
        <v>3.38</v>
      </c>
      <c r="O269" s="88">
        <f>E265*N269</f>
        <v>1.0951200000000001</v>
      </c>
      <c r="P269" s="166">
        <v>0.875</v>
      </c>
      <c r="Q269" s="90">
        <f>N269*P269*$N$11</f>
        <v>3.3755861002500005</v>
      </c>
      <c r="R269" s="284"/>
      <c r="S269" s="284"/>
      <c r="T269" s="286"/>
      <c r="U269" s="286"/>
    </row>
    <row r="270" spans="1:21" ht="12" hidden="1">
      <c r="A270" s="44"/>
      <c r="C270" s="260"/>
      <c r="E270" s="262"/>
      <c r="I270" s="46"/>
      <c r="K270" s="47"/>
      <c r="L270" s="86" t="s">
        <v>47</v>
      </c>
      <c r="M270" s="87" t="s">
        <v>24</v>
      </c>
      <c r="N270" s="88">
        <f>0.16+0.06+0.83</f>
        <v>1.05</v>
      </c>
      <c r="O270" s="88">
        <f>E265*N270</f>
        <v>0.3402</v>
      </c>
      <c r="P270" s="89">
        <v>122.917</v>
      </c>
      <c r="Q270" s="90">
        <f>N270*P270*$N$11</f>
        <v>147.30778107139503</v>
      </c>
      <c r="R270" s="262"/>
      <c r="S270" s="262"/>
      <c r="T270" s="264"/>
      <c r="U270" s="278"/>
    </row>
    <row r="271" spans="1:21">
      <c r="A271" s="50"/>
      <c r="B271" s="51"/>
      <c r="C271" s="52"/>
      <c r="D271" s="53"/>
      <c r="E271" s="267"/>
      <c r="F271" s="54"/>
      <c r="G271" s="55"/>
      <c r="H271" s="54"/>
      <c r="I271" s="56"/>
      <c r="J271" s="55"/>
      <c r="K271" s="57"/>
      <c r="L271" s="58"/>
      <c r="M271" s="59"/>
      <c r="N271" s="60"/>
      <c r="O271" s="85"/>
      <c r="P271" s="54"/>
      <c r="Q271" s="61"/>
      <c r="R271" s="267"/>
      <c r="S271" s="267"/>
      <c r="T271" s="62"/>
      <c r="U271" s="62"/>
    </row>
    <row r="272" spans="1:21" ht="12">
      <c r="A272" s="63">
        <f>A265+1</f>
        <v>3</v>
      </c>
      <c r="B272" s="274" t="s">
        <v>38</v>
      </c>
      <c r="C272" s="281" t="s">
        <v>74</v>
      </c>
      <c r="D272" s="32" t="s">
        <v>24</v>
      </c>
      <c r="E272" s="261">
        <v>2.7</v>
      </c>
      <c r="F272" s="33"/>
      <c r="G272" s="34">
        <v>12.6</v>
      </c>
      <c r="H272" s="33"/>
      <c r="I272" s="35"/>
      <c r="J272" s="34">
        <v>2.1</v>
      </c>
      <c r="K272" s="36"/>
      <c r="L272" s="64"/>
      <c r="M272" s="65"/>
      <c r="N272" s="66"/>
      <c r="O272" s="67"/>
      <c r="P272" s="33"/>
      <c r="Q272" s="68"/>
      <c r="R272" s="42">
        <f>G273+J273</f>
        <v>29.409555000000005</v>
      </c>
      <c r="S272" s="283">
        <f>(R272+R273)*U272</f>
        <v>0</v>
      </c>
      <c r="T272" s="285">
        <f>E272*S272</f>
        <v>0</v>
      </c>
      <c r="U272" s="285"/>
    </row>
    <row r="273" spans="1:21" ht="12">
      <c r="A273" s="44"/>
      <c r="B273" s="275" t="s">
        <v>33</v>
      </c>
      <c r="C273" s="282"/>
      <c r="E273" s="262"/>
      <c r="G273" s="34">
        <f>G272*$J$13/1000</f>
        <v>23.963814000000003</v>
      </c>
      <c r="I273" s="46"/>
      <c r="J273" s="34">
        <f>J272*$Q$13/1000</f>
        <v>5.4457409999999999</v>
      </c>
      <c r="K273" s="47"/>
      <c r="L273" s="265" t="s">
        <v>39</v>
      </c>
      <c r="M273" s="71" t="s">
        <v>29</v>
      </c>
      <c r="N273" s="72">
        <v>4.38</v>
      </c>
      <c r="O273" s="72">
        <f>E272*N273</f>
        <v>11.826000000000001</v>
      </c>
      <c r="P273" s="73">
        <v>0.4</v>
      </c>
      <c r="Q273" s="74">
        <f>N273*P273*$N$11</f>
        <v>1.9996709544000004</v>
      </c>
      <c r="R273" s="283">
        <f>SUM(Q273:Q277)</f>
        <v>158.72679248548502</v>
      </c>
      <c r="S273" s="284"/>
      <c r="T273" s="286"/>
      <c r="U273" s="286"/>
    </row>
    <row r="274" spans="1:21" ht="0.75" customHeight="1">
      <c r="A274" s="44"/>
      <c r="C274" s="282"/>
      <c r="E274" s="262"/>
      <c r="I274" s="46"/>
      <c r="K274" s="47"/>
      <c r="L274" s="268" t="s">
        <v>40</v>
      </c>
      <c r="M274" s="106" t="s">
        <v>29</v>
      </c>
      <c r="N274" s="107">
        <v>1.96</v>
      </c>
      <c r="O274" s="107">
        <f>E272*N274</f>
        <v>5.2919999999999998</v>
      </c>
      <c r="P274" s="108">
        <v>1.1000000000000001</v>
      </c>
      <c r="Q274" s="109">
        <f>N274*P274*$N$11</f>
        <v>2.4607822932000007</v>
      </c>
      <c r="R274" s="284"/>
      <c r="S274" s="284"/>
      <c r="T274" s="286"/>
      <c r="U274" s="286"/>
    </row>
    <row r="275" spans="1:21" ht="12" hidden="1">
      <c r="A275" s="44"/>
      <c r="C275" s="282"/>
      <c r="E275" s="262"/>
      <c r="I275" s="46"/>
      <c r="K275" s="47"/>
      <c r="L275" s="268" t="s">
        <v>41</v>
      </c>
      <c r="M275" s="106" t="s">
        <v>29</v>
      </c>
      <c r="N275" s="107">
        <v>7.2</v>
      </c>
      <c r="O275" s="107">
        <f>E272*N275</f>
        <v>19.440000000000001</v>
      </c>
      <c r="P275" s="166">
        <v>0.436</v>
      </c>
      <c r="Q275" s="109">
        <f>N275*P275*$N$11</f>
        <v>3.5829720662400009</v>
      </c>
      <c r="R275" s="284"/>
      <c r="S275" s="284"/>
      <c r="T275" s="286"/>
      <c r="U275" s="286"/>
    </row>
    <row r="276" spans="1:21" ht="12" hidden="1">
      <c r="A276" s="44"/>
      <c r="C276" s="282"/>
      <c r="E276" s="262"/>
      <c r="I276" s="46"/>
      <c r="K276" s="47"/>
      <c r="L276" s="86" t="s">
        <v>34</v>
      </c>
      <c r="M276" s="87" t="s">
        <v>28</v>
      </c>
      <c r="N276" s="88">
        <v>3.38</v>
      </c>
      <c r="O276" s="88">
        <f>E272*N276</f>
        <v>9.1259999999999994</v>
      </c>
      <c r="P276" s="166">
        <v>0.875</v>
      </c>
      <c r="Q276" s="90">
        <f>N276*P276*$N$11</f>
        <v>3.3755861002500005</v>
      </c>
      <c r="R276" s="284"/>
      <c r="S276" s="284"/>
      <c r="T276" s="286"/>
      <c r="U276" s="286"/>
    </row>
    <row r="277" spans="1:21" ht="12" hidden="1">
      <c r="A277" s="44"/>
      <c r="C277" s="260"/>
      <c r="E277" s="262"/>
      <c r="I277" s="46"/>
      <c r="K277" s="47"/>
      <c r="L277" s="86" t="s">
        <v>47</v>
      </c>
      <c r="M277" s="87" t="s">
        <v>24</v>
      </c>
      <c r="N277" s="88">
        <f>0.16+0.06+0.83</f>
        <v>1.05</v>
      </c>
      <c r="O277" s="88">
        <f>E272*N277</f>
        <v>2.8350000000000004</v>
      </c>
      <c r="P277" s="89">
        <v>122.917</v>
      </c>
      <c r="Q277" s="90">
        <f>N277*P277*$N$11</f>
        <v>147.30778107139503</v>
      </c>
      <c r="R277" s="262"/>
      <c r="S277" s="262"/>
      <c r="T277" s="264"/>
      <c r="U277" s="278"/>
    </row>
    <row r="278" spans="1:21">
      <c r="A278" s="50"/>
      <c r="B278" s="51"/>
      <c r="C278" s="52"/>
      <c r="D278" s="53"/>
      <c r="E278" s="267"/>
      <c r="F278" s="54"/>
      <c r="G278" s="55"/>
      <c r="H278" s="54"/>
      <c r="I278" s="56"/>
      <c r="J278" s="55"/>
      <c r="K278" s="57"/>
      <c r="L278" s="58"/>
      <c r="M278" s="59"/>
      <c r="N278" s="60"/>
      <c r="O278" s="85"/>
      <c r="P278" s="54"/>
      <c r="Q278" s="61"/>
      <c r="R278" s="267"/>
      <c r="S278" s="267"/>
      <c r="T278" s="62"/>
      <c r="U278" s="62"/>
    </row>
    <row r="279" spans="1:21" ht="12">
      <c r="A279" s="63">
        <f>A272+1</f>
        <v>4</v>
      </c>
      <c r="B279" s="274" t="s">
        <v>38</v>
      </c>
      <c r="C279" s="281" t="s">
        <v>75</v>
      </c>
      <c r="D279" s="32" t="s">
        <v>24</v>
      </c>
      <c r="E279" s="261">
        <v>2.95</v>
      </c>
      <c r="F279" s="33"/>
      <c r="G279" s="34">
        <v>12.6</v>
      </c>
      <c r="H279" s="33"/>
      <c r="I279" s="35"/>
      <c r="J279" s="34">
        <v>2.1</v>
      </c>
      <c r="K279" s="36"/>
      <c r="L279" s="64"/>
      <c r="M279" s="65"/>
      <c r="N279" s="66"/>
      <c r="O279" s="67"/>
      <c r="P279" s="33"/>
      <c r="Q279" s="68"/>
      <c r="R279" s="42">
        <f>G280+J280</f>
        <v>29.409555000000005</v>
      </c>
      <c r="S279" s="283">
        <f>(R279+R280)*U279</f>
        <v>0</v>
      </c>
      <c r="T279" s="285">
        <f>E279*S279</f>
        <v>0</v>
      </c>
      <c r="U279" s="285"/>
    </row>
    <row r="280" spans="1:21" ht="11.25" customHeight="1">
      <c r="A280" s="44"/>
      <c r="B280" s="275" t="s">
        <v>33</v>
      </c>
      <c r="C280" s="282"/>
      <c r="E280" s="262"/>
      <c r="G280" s="34">
        <f>G279*$J$13/1000</f>
        <v>23.963814000000003</v>
      </c>
      <c r="I280" s="46"/>
      <c r="J280" s="34">
        <f>J279*$Q$13/1000</f>
        <v>5.4457409999999999</v>
      </c>
      <c r="K280" s="47"/>
      <c r="L280" s="265" t="s">
        <v>39</v>
      </c>
      <c r="M280" s="71" t="s">
        <v>29</v>
      </c>
      <c r="N280" s="72">
        <v>4.38</v>
      </c>
      <c r="O280" s="72">
        <f>E279*N280</f>
        <v>12.921000000000001</v>
      </c>
      <c r="P280" s="73">
        <v>0.4</v>
      </c>
      <c r="Q280" s="74">
        <f>N280*P280*$N$11</f>
        <v>1.9996709544000004</v>
      </c>
      <c r="R280" s="283">
        <f>SUM(Q280:Q284)</f>
        <v>158.72679248548502</v>
      </c>
      <c r="S280" s="284"/>
      <c r="T280" s="286"/>
      <c r="U280" s="286"/>
    </row>
    <row r="281" spans="1:21" ht="12" hidden="1">
      <c r="A281" s="44"/>
      <c r="C281" s="282"/>
      <c r="E281" s="262"/>
      <c r="I281" s="46"/>
      <c r="K281" s="47"/>
      <c r="L281" s="268" t="s">
        <v>40</v>
      </c>
      <c r="M281" s="106" t="s">
        <v>29</v>
      </c>
      <c r="N281" s="107">
        <v>1.96</v>
      </c>
      <c r="O281" s="107">
        <f>E279*N281</f>
        <v>5.782</v>
      </c>
      <c r="P281" s="108">
        <v>1.1000000000000001</v>
      </c>
      <c r="Q281" s="109">
        <f>N281*P281*$N$11</f>
        <v>2.4607822932000007</v>
      </c>
      <c r="R281" s="284"/>
      <c r="S281" s="284"/>
      <c r="T281" s="286"/>
      <c r="U281" s="286"/>
    </row>
    <row r="282" spans="1:21" ht="12" hidden="1">
      <c r="A282" s="44"/>
      <c r="C282" s="282"/>
      <c r="E282" s="262"/>
      <c r="I282" s="46"/>
      <c r="K282" s="47"/>
      <c r="L282" s="268" t="s">
        <v>41</v>
      </c>
      <c r="M282" s="106" t="s">
        <v>29</v>
      </c>
      <c r="N282" s="107">
        <v>7.2</v>
      </c>
      <c r="O282" s="107">
        <f>E279*N282</f>
        <v>21.240000000000002</v>
      </c>
      <c r="P282" s="166">
        <v>0.436</v>
      </c>
      <c r="Q282" s="109">
        <f>N282*P282*$N$11</f>
        <v>3.5829720662400009</v>
      </c>
      <c r="R282" s="284"/>
      <c r="S282" s="284"/>
      <c r="T282" s="286"/>
      <c r="U282" s="286"/>
    </row>
    <row r="283" spans="1:21" ht="12" hidden="1">
      <c r="A283" s="44"/>
      <c r="C283" s="282"/>
      <c r="E283" s="262"/>
      <c r="I283" s="46"/>
      <c r="K283" s="47"/>
      <c r="L283" s="86" t="s">
        <v>34</v>
      </c>
      <c r="M283" s="87" t="s">
        <v>28</v>
      </c>
      <c r="N283" s="88">
        <v>3.38</v>
      </c>
      <c r="O283" s="88">
        <f>E279*N283</f>
        <v>9.9710000000000001</v>
      </c>
      <c r="P283" s="166">
        <v>0.875</v>
      </c>
      <c r="Q283" s="90">
        <f>N283*P283*$N$11</f>
        <v>3.3755861002500005</v>
      </c>
      <c r="R283" s="284"/>
      <c r="S283" s="284"/>
      <c r="T283" s="286"/>
      <c r="U283" s="286"/>
    </row>
    <row r="284" spans="1:21" ht="12" hidden="1">
      <c r="A284" s="44"/>
      <c r="C284" s="260"/>
      <c r="E284" s="262"/>
      <c r="I284" s="46"/>
      <c r="K284" s="47"/>
      <c r="L284" s="86" t="s">
        <v>47</v>
      </c>
      <c r="M284" s="87" t="s">
        <v>24</v>
      </c>
      <c r="N284" s="88">
        <f>0.16+0.06+0.83</f>
        <v>1.05</v>
      </c>
      <c r="O284" s="88">
        <f>E279*N284</f>
        <v>3.0975000000000001</v>
      </c>
      <c r="P284" s="166">
        <v>122.917</v>
      </c>
      <c r="Q284" s="90">
        <f>N284*P284*$N$11</f>
        <v>147.30778107139503</v>
      </c>
      <c r="R284" s="262"/>
      <c r="S284" s="262"/>
      <c r="T284" s="264"/>
      <c r="U284" s="278"/>
    </row>
    <row r="285" spans="1:21">
      <c r="A285" s="50"/>
      <c r="B285" s="51"/>
      <c r="C285" s="52"/>
      <c r="D285" s="53"/>
      <c r="E285" s="267"/>
      <c r="F285" s="54"/>
      <c r="G285" s="55"/>
      <c r="H285" s="54"/>
      <c r="I285" s="56"/>
      <c r="J285" s="55"/>
      <c r="K285" s="57"/>
      <c r="L285" s="58"/>
      <c r="M285" s="59"/>
      <c r="N285" s="60"/>
      <c r="O285" s="85"/>
      <c r="P285" s="54"/>
      <c r="Q285" s="61"/>
      <c r="R285" s="267"/>
      <c r="S285" s="267"/>
      <c r="T285" s="62"/>
      <c r="U285" s="62"/>
    </row>
    <row r="286" spans="1:21" ht="12">
      <c r="A286" s="31">
        <f>A279+1</f>
        <v>5</v>
      </c>
      <c r="B286" s="274" t="s">
        <v>76</v>
      </c>
      <c r="C286" s="281" t="s">
        <v>77</v>
      </c>
      <c r="D286" s="32" t="s">
        <v>59</v>
      </c>
      <c r="E286" s="261">
        <v>4</v>
      </c>
      <c r="F286" s="33"/>
      <c r="G286" s="34">
        <f>3.5</f>
        <v>3.5</v>
      </c>
      <c r="H286" s="33"/>
      <c r="I286" s="35"/>
      <c r="J286" s="34">
        <f>0.3</f>
        <v>0.3</v>
      </c>
      <c r="K286" s="36"/>
      <c r="L286" s="157"/>
      <c r="M286" s="38"/>
      <c r="N286" s="39"/>
      <c r="O286" s="105"/>
      <c r="P286" s="40"/>
      <c r="Q286" s="41"/>
      <c r="R286" s="42">
        <f>G287+J287</f>
        <v>7.4345780000000001</v>
      </c>
      <c r="S286" s="283">
        <f>(R286+R287)*U286</f>
        <v>0</v>
      </c>
      <c r="T286" s="285">
        <f>E286*S286</f>
        <v>0</v>
      </c>
      <c r="U286" s="285"/>
    </row>
    <row r="287" spans="1:21" ht="12">
      <c r="A287" s="44"/>
      <c r="B287" s="275" t="s">
        <v>78</v>
      </c>
      <c r="C287" s="282"/>
      <c r="E287" s="262"/>
      <c r="G287" s="34">
        <f>G286*$J$13/1000</f>
        <v>6.6566150000000004</v>
      </c>
      <c r="I287" s="46"/>
      <c r="J287" s="34">
        <f>J286*$Q$13/1000</f>
        <v>0.77796299999999996</v>
      </c>
      <c r="K287" s="47"/>
      <c r="L287" s="266" t="s">
        <v>47</v>
      </c>
      <c r="M287" s="158" t="s">
        <v>24</v>
      </c>
      <c r="N287" s="159">
        <f>0.06+0.1+0.06</f>
        <v>0.22</v>
      </c>
      <c r="O287" s="167">
        <f>E286*N287</f>
        <v>0.88</v>
      </c>
      <c r="P287" s="170">
        <v>122.917</v>
      </c>
      <c r="Q287" s="84">
        <f>N287*P287*$N$11</f>
        <v>30.864487462578008</v>
      </c>
      <c r="R287" s="262">
        <f>SUM(Q287:Q287)</f>
        <v>30.864487462578008</v>
      </c>
      <c r="S287" s="284"/>
      <c r="T287" s="286"/>
      <c r="U287" s="286"/>
    </row>
    <row r="288" spans="1:21" ht="12" hidden="1">
      <c r="A288" s="44"/>
      <c r="B288" s="275"/>
      <c r="C288" s="282"/>
      <c r="E288" s="262"/>
      <c r="I288" s="46"/>
      <c r="K288" s="47"/>
      <c r="L288" s="268" t="s">
        <v>79</v>
      </c>
      <c r="M288" s="160" t="s">
        <v>59</v>
      </c>
      <c r="N288" s="161">
        <v>1</v>
      </c>
      <c r="O288" s="161">
        <f>E286*N288</f>
        <v>4</v>
      </c>
      <c r="P288" s="108">
        <v>3.7</v>
      </c>
      <c r="Q288" s="109">
        <f>N288*P288*$N$11</f>
        <v>4.2230493900000008</v>
      </c>
      <c r="R288" s="262"/>
      <c r="S288" s="262"/>
      <c r="T288" s="264"/>
      <c r="U288" s="278"/>
    </row>
    <row r="289" spans="1:21">
      <c r="A289" s="50"/>
      <c r="B289" s="51"/>
      <c r="C289" s="52"/>
      <c r="D289" s="53"/>
      <c r="E289" s="267"/>
      <c r="F289" s="54"/>
      <c r="G289" s="55"/>
      <c r="H289" s="54"/>
      <c r="I289" s="56"/>
      <c r="J289" s="55"/>
      <c r="K289" s="57"/>
      <c r="L289" s="58"/>
      <c r="M289" s="59"/>
      <c r="N289" s="60"/>
      <c r="O289" s="85"/>
      <c r="P289" s="54"/>
      <c r="Q289" s="61"/>
      <c r="R289" s="267"/>
      <c r="S289" s="267"/>
      <c r="T289" s="62"/>
      <c r="U289" s="62"/>
    </row>
    <row r="290" spans="1:21" ht="17.25" customHeight="1">
      <c r="A290" s="31">
        <f>A286+1</f>
        <v>6</v>
      </c>
      <c r="B290" s="275" t="s">
        <v>80</v>
      </c>
      <c r="C290" s="281" t="s">
        <v>81</v>
      </c>
      <c r="D290" s="45" t="s">
        <v>24</v>
      </c>
      <c r="E290" s="262">
        <f>E258+E265+E272</f>
        <v>6.6240000000000006</v>
      </c>
      <c r="G290" s="2">
        <v>0.46</v>
      </c>
      <c r="I290" s="46"/>
      <c r="J290" s="2">
        <v>0.13</v>
      </c>
      <c r="K290" s="47"/>
      <c r="L290" s="64"/>
      <c r="M290" s="65"/>
      <c r="N290" s="66"/>
      <c r="O290" s="67"/>
      <c r="P290" s="33"/>
      <c r="Q290" s="68"/>
      <c r="R290" s="42">
        <f>G291+J291</f>
        <v>1.2119867</v>
      </c>
      <c r="S290" s="283">
        <f>(R290+R291)*U290</f>
        <v>0</v>
      </c>
      <c r="T290" s="285">
        <f>E290*S290</f>
        <v>0</v>
      </c>
      <c r="U290" s="285"/>
    </row>
    <row r="291" spans="1:21" ht="11.25" customHeight="1">
      <c r="A291" s="44"/>
      <c r="B291" s="275" t="s">
        <v>82</v>
      </c>
      <c r="C291" s="282"/>
      <c r="E291" s="262"/>
      <c r="G291" s="34">
        <f>G290*$J$13/1000</f>
        <v>0.87486940000000002</v>
      </c>
      <c r="I291" s="46"/>
      <c r="J291" s="34">
        <f>J290*$Q$13/1000</f>
        <v>0.33711730000000001</v>
      </c>
      <c r="K291" s="47"/>
      <c r="L291" s="265" t="s">
        <v>83</v>
      </c>
      <c r="M291" s="71" t="s">
        <v>29</v>
      </c>
      <c r="N291" s="72">
        <v>1.79</v>
      </c>
      <c r="O291" s="72">
        <f>E290*N291</f>
        <v>11.856960000000001</v>
      </c>
      <c r="P291" s="73">
        <v>0.6</v>
      </c>
      <c r="Q291" s="74">
        <f>N291*P291*$N$11</f>
        <v>1.2258256878000002</v>
      </c>
      <c r="R291" s="283">
        <f>SUM(Q291:Q293)</f>
        <v>6.5473244650800009</v>
      </c>
      <c r="S291" s="284"/>
      <c r="T291" s="286"/>
      <c r="U291" s="286"/>
    </row>
    <row r="292" spans="1:21" ht="12" hidden="1">
      <c r="A292" s="44"/>
      <c r="C292" s="282"/>
      <c r="E292" s="262"/>
      <c r="I292" s="46"/>
      <c r="K292" s="47"/>
      <c r="L292" s="268" t="s">
        <v>84</v>
      </c>
      <c r="M292" s="106" t="s">
        <v>29</v>
      </c>
      <c r="N292" s="107">
        <v>1.07</v>
      </c>
      <c r="O292" s="107">
        <f>E290*N292</f>
        <v>7.0876800000000006</v>
      </c>
      <c r="P292" s="108">
        <v>0.32</v>
      </c>
      <c r="Q292" s="109">
        <f>N292*P292*$N$11</f>
        <v>0.39080327328000014</v>
      </c>
      <c r="R292" s="284"/>
      <c r="S292" s="284"/>
      <c r="T292" s="286"/>
      <c r="U292" s="286"/>
    </row>
    <row r="293" spans="1:21" ht="12" hidden="1">
      <c r="A293" s="44"/>
      <c r="C293" s="282"/>
      <c r="E293" s="262"/>
      <c r="I293" s="46"/>
      <c r="K293" s="47"/>
      <c r="L293" s="86" t="s">
        <v>85</v>
      </c>
      <c r="M293" s="87" t="s">
        <v>29</v>
      </c>
      <c r="N293" s="88">
        <v>7.2</v>
      </c>
      <c r="O293" s="88">
        <f>E290*N293</f>
        <v>47.692800000000005</v>
      </c>
      <c r="P293" s="89">
        <v>0.6</v>
      </c>
      <c r="Q293" s="90">
        <f>N293*P293*$N$11</f>
        <v>4.9306955040000009</v>
      </c>
      <c r="R293" s="284"/>
      <c r="S293" s="284"/>
      <c r="T293" s="286"/>
      <c r="U293" s="286"/>
    </row>
    <row r="294" spans="1:21">
      <c r="A294" s="50"/>
      <c r="B294" s="51"/>
      <c r="C294" s="52"/>
      <c r="D294" s="53"/>
      <c r="E294" s="267"/>
      <c r="F294" s="54"/>
      <c r="G294" s="55"/>
      <c r="H294" s="54"/>
      <c r="I294" s="56"/>
      <c r="J294" s="55"/>
      <c r="K294" s="57"/>
      <c r="Q294" s="48"/>
      <c r="R294" s="262"/>
      <c r="S294" s="262"/>
      <c r="T294" s="49"/>
      <c r="U294" s="49"/>
    </row>
    <row r="295" spans="1:21" ht="15" customHeight="1">
      <c r="A295" s="31">
        <f>A290+1</f>
        <v>7</v>
      </c>
      <c r="B295" s="275" t="s">
        <v>120</v>
      </c>
      <c r="C295" s="281" t="s">
        <v>122</v>
      </c>
      <c r="D295" s="45" t="s">
        <v>25</v>
      </c>
      <c r="E295" s="262">
        <f>E300</f>
        <v>5.4</v>
      </c>
      <c r="G295" s="2">
        <v>1.6</v>
      </c>
      <c r="I295" s="46"/>
      <c r="J295" s="2">
        <v>0.4</v>
      </c>
      <c r="K295" s="47"/>
      <c r="L295" s="64"/>
      <c r="M295" s="65"/>
      <c r="N295" s="66"/>
      <c r="O295" s="67"/>
      <c r="P295" s="33"/>
      <c r="Q295" s="68"/>
      <c r="R295" s="42">
        <f>G296+J296</f>
        <v>4.0803080000000005</v>
      </c>
      <c r="S295" s="283">
        <f>(R295+R296)*U295</f>
        <v>0</v>
      </c>
      <c r="T295" s="285">
        <f>E295*S295</f>
        <v>0</v>
      </c>
      <c r="U295" s="285"/>
    </row>
    <row r="296" spans="1:21" ht="11.25" customHeight="1">
      <c r="A296" s="44"/>
      <c r="B296" s="275" t="s">
        <v>121</v>
      </c>
      <c r="C296" s="282"/>
      <c r="E296" s="262"/>
      <c r="G296" s="34">
        <f>G295*$J$13/1000</f>
        <v>3.0430240000000004</v>
      </c>
      <c r="I296" s="46"/>
      <c r="J296" s="34">
        <f>J295*$Q$13/1000</f>
        <v>1.0372840000000001</v>
      </c>
      <c r="K296" s="47"/>
      <c r="L296" s="265" t="s">
        <v>123</v>
      </c>
      <c r="M296" s="71" t="s">
        <v>29</v>
      </c>
      <c r="N296" s="72">
        <v>23.1</v>
      </c>
      <c r="O296" s="72">
        <f>E295*N296</f>
        <v>124.74000000000001</v>
      </c>
      <c r="P296" s="73">
        <v>0.6</v>
      </c>
      <c r="Q296" s="74">
        <f>N296*P296*$N$11</f>
        <v>15.819314742000005</v>
      </c>
      <c r="R296" s="283">
        <f>SUM(Q296:Q298)</f>
        <v>21.069592362000005</v>
      </c>
      <c r="S296" s="284"/>
      <c r="T296" s="286"/>
      <c r="U296" s="286"/>
    </row>
    <row r="297" spans="1:21" ht="12" hidden="1">
      <c r="A297" s="44"/>
      <c r="C297" s="282"/>
      <c r="E297" s="262"/>
      <c r="I297" s="46"/>
      <c r="K297" s="47"/>
      <c r="L297" s="265" t="s">
        <v>124</v>
      </c>
      <c r="M297" s="106" t="s">
        <v>29</v>
      </c>
      <c r="N297" s="107">
        <v>5.8</v>
      </c>
      <c r="O297" s="107">
        <f>E295*N297</f>
        <v>31.32</v>
      </c>
      <c r="P297" s="108">
        <v>0.6</v>
      </c>
      <c r="Q297" s="109">
        <f>N297*P297*$N$11</f>
        <v>3.9719491560000009</v>
      </c>
      <c r="R297" s="284"/>
      <c r="S297" s="284"/>
      <c r="T297" s="286"/>
      <c r="U297" s="286"/>
    </row>
    <row r="298" spans="1:21" ht="12" hidden="1">
      <c r="A298" s="44"/>
      <c r="C298" s="282"/>
      <c r="E298" s="262"/>
      <c r="I298" s="46"/>
      <c r="K298" s="47"/>
      <c r="L298" s="86" t="s">
        <v>125</v>
      </c>
      <c r="M298" s="87" t="s">
        <v>29</v>
      </c>
      <c r="N298" s="88">
        <v>3.5</v>
      </c>
      <c r="O298" s="88">
        <f>E295*N298</f>
        <v>18.900000000000002</v>
      </c>
      <c r="P298" s="89">
        <v>0.32</v>
      </c>
      <c r="Q298" s="90">
        <f>N298*P298*$N$11</f>
        <v>1.2783284640000003</v>
      </c>
      <c r="R298" s="284"/>
      <c r="S298" s="284"/>
      <c r="T298" s="286"/>
      <c r="U298" s="286"/>
    </row>
    <row r="299" spans="1:21">
      <c r="A299" s="50"/>
      <c r="B299" s="51"/>
      <c r="C299" s="52"/>
      <c r="D299" s="53"/>
      <c r="E299" s="267"/>
      <c r="F299" s="54"/>
      <c r="G299" s="55"/>
      <c r="H299" s="54"/>
      <c r="I299" s="56"/>
      <c r="J299" s="55"/>
      <c r="K299" s="57"/>
      <c r="Q299" s="48"/>
      <c r="R299" s="262"/>
      <c r="S299" s="262"/>
      <c r="T299" s="49"/>
      <c r="U299" s="49"/>
    </row>
    <row r="300" spans="1:21" ht="12">
      <c r="A300" s="31">
        <f>A295+1</f>
        <v>8</v>
      </c>
      <c r="B300" s="275" t="s">
        <v>35</v>
      </c>
      <c r="C300" s="281" t="s">
        <v>115</v>
      </c>
      <c r="D300" s="45" t="s">
        <v>25</v>
      </c>
      <c r="E300" s="262">
        <f>540/100</f>
        <v>5.4</v>
      </c>
      <c r="G300" s="2">
        <v>18.100000000000001</v>
      </c>
      <c r="I300" s="46"/>
      <c r="J300" s="2">
        <v>15.3</v>
      </c>
      <c r="K300" s="47"/>
      <c r="L300" s="64"/>
      <c r="M300" s="65"/>
      <c r="N300" s="66"/>
      <c r="O300" s="67"/>
      <c r="P300" s="33"/>
      <c r="Q300" s="68"/>
      <c r="R300" s="42">
        <f>G301+J301</f>
        <v>74.100322000000006</v>
      </c>
      <c r="S300" s="283">
        <f>(R300+R301)*U300</f>
        <v>0</v>
      </c>
      <c r="T300" s="285">
        <f>E300*S300</f>
        <v>0</v>
      </c>
      <c r="U300" s="285"/>
    </row>
    <row r="301" spans="1:21" ht="12">
      <c r="A301" s="44"/>
      <c r="B301" s="275" t="s">
        <v>32</v>
      </c>
      <c r="C301" s="282"/>
      <c r="E301" s="262"/>
      <c r="G301" s="34">
        <f>G300*$J$13/1000</f>
        <v>34.424209000000005</v>
      </c>
      <c r="I301" s="46"/>
      <c r="J301" s="34">
        <f>J300*$Q$13/1000</f>
        <v>39.676113000000008</v>
      </c>
      <c r="K301" s="47"/>
      <c r="L301" s="287" t="s">
        <v>116</v>
      </c>
      <c r="M301" s="71" t="s">
        <v>28</v>
      </c>
      <c r="N301" s="72">
        <v>110</v>
      </c>
      <c r="O301" s="72">
        <f>E300*N301</f>
        <v>594</v>
      </c>
      <c r="P301" s="140">
        <v>2.0640000000000001</v>
      </c>
      <c r="Q301" s="74">
        <f>N301*P301*$N$11</f>
        <v>259.13544148800008</v>
      </c>
      <c r="R301" s="283">
        <f>SUM(Q301:Q307)</f>
        <v>263.62557021780009</v>
      </c>
      <c r="S301" s="284"/>
      <c r="T301" s="286"/>
      <c r="U301" s="286"/>
    </row>
    <row r="302" spans="1:21" ht="12" hidden="1">
      <c r="A302" s="44"/>
      <c r="C302" s="282"/>
      <c r="E302" s="262"/>
      <c r="I302" s="46"/>
      <c r="K302" s="47"/>
      <c r="L302" s="301"/>
      <c r="M302" s="75"/>
      <c r="N302" s="76"/>
      <c r="O302" s="77"/>
      <c r="P302" s="78"/>
      <c r="Q302" s="79"/>
      <c r="R302" s="284"/>
      <c r="S302" s="284"/>
      <c r="T302" s="286"/>
      <c r="U302" s="286"/>
    </row>
    <row r="303" spans="1:21" ht="12" hidden="1">
      <c r="A303" s="44"/>
      <c r="C303" s="282"/>
      <c r="E303" s="262"/>
      <c r="I303" s="46"/>
      <c r="K303" s="47"/>
      <c r="L303" s="302" t="s">
        <v>42</v>
      </c>
      <c r="M303" s="106" t="s">
        <v>26</v>
      </c>
      <c r="N303" s="107">
        <v>5.0000000000000001E-3</v>
      </c>
      <c r="O303" s="107">
        <f>E300*N303</f>
        <v>2.7000000000000003E-2</v>
      </c>
      <c r="P303" s="108">
        <v>400</v>
      </c>
      <c r="Q303" s="109">
        <f>N303*P303*$N$11</f>
        <v>2.2827294000000005</v>
      </c>
      <c r="R303" s="284"/>
      <c r="S303" s="284"/>
      <c r="T303" s="286"/>
      <c r="U303" s="286"/>
    </row>
    <row r="304" spans="1:21" ht="12" hidden="1">
      <c r="A304" s="44"/>
      <c r="C304" s="282"/>
      <c r="E304" s="262"/>
      <c r="I304" s="46"/>
      <c r="K304" s="47"/>
      <c r="L304" s="301"/>
      <c r="M304" s="75"/>
      <c r="N304" s="76"/>
      <c r="O304" s="77"/>
      <c r="P304" s="78"/>
      <c r="Q304" s="79"/>
      <c r="R304" s="284"/>
      <c r="S304" s="284"/>
      <c r="T304" s="286"/>
      <c r="U304" s="286"/>
    </row>
    <row r="305" spans="1:21" ht="12" hidden="1">
      <c r="A305" s="44"/>
      <c r="C305" s="282"/>
      <c r="E305" s="262"/>
      <c r="I305" s="46"/>
      <c r="K305" s="47"/>
      <c r="L305" s="301"/>
      <c r="M305" s="75"/>
      <c r="N305" s="76"/>
      <c r="O305" s="77"/>
      <c r="P305" s="78"/>
      <c r="Q305" s="79"/>
      <c r="R305" s="284"/>
      <c r="S305" s="284"/>
      <c r="T305" s="286"/>
      <c r="U305" s="286"/>
    </row>
    <row r="306" spans="1:21" ht="12" hidden="1">
      <c r="A306" s="44"/>
      <c r="C306" s="282"/>
      <c r="E306" s="262"/>
      <c r="I306" s="46"/>
      <c r="K306" s="47"/>
      <c r="L306" s="301"/>
      <c r="M306" s="75"/>
      <c r="N306" s="76"/>
      <c r="O306" s="77"/>
      <c r="P306" s="78"/>
      <c r="Q306" s="79"/>
      <c r="R306" s="284"/>
      <c r="S306" s="284"/>
      <c r="T306" s="286"/>
      <c r="U306" s="286"/>
    </row>
    <row r="307" spans="1:21" ht="12" hidden="1">
      <c r="A307" s="44"/>
      <c r="C307" s="282"/>
      <c r="E307" s="262"/>
      <c r="I307" s="46"/>
      <c r="K307" s="47"/>
      <c r="L307" s="86" t="s">
        <v>43</v>
      </c>
      <c r="M307" s="87" t="s">
        <v>29</v>
      </c>
      <c r="N307" s="88">
        <v>2</v>
      </c>
      <c r="O307" s="88">
        <f>E300*N307</f>
        <v>10.8</v>
      </c>
      <c r="P307" s="166">
        <v>0.96699999999999997</v>
      </c>
      <c r="Q307" s="90">
        <f>N307*P307*$N$11</f>
        <v>2.2073993298000003</v>
      </c>
      <c r="R307" s="284"/>
      <c r="S307" s="284"/>
      <c r="T307" s="286"/>
      <c r="U307" s="286"/>
    </row>
    <row r="308" spans="1:21">
      <c r="A308" s="50"/>
      <c r="B308" s="51"/>
      <c r="C308" s="52"/>
      <c r="D308" s="53"/>
      <c r="E308" s="267"/>
      <c r="F308" s="54"/>
      <c r="G308" s="55"/>
      <c r="H308" s="54"/>
      <c r="I308" s="56"/>
      <c r="J308" s="55"/>
      <c r="K308" s="57"/>
      <c r="Q308" s="48"/>
      <c r="R308" s="262"/>
      <c r="S308" s="262"/>
      <c r="T308" s="49"/>
      <c r="U308" s="49"/>
    </row>
    <row r="309" spans="1:21" ht="18" customHeight="1">
      <c r="A309" s="31">
        <f>A300+1</f>
        <v>9</v>
      </c>
      <c r="B309" s="275" t="s">
        <v>63</v>
      </c>
      <c r="C309" s="281" t="s">
        <v>86</v>
      </c>
      <c r="D309" s="45" t="s">
        <v>65</v>
      </c>
      <c r="E309" s="262">
        <f>106.4/100</f>
        <v>1.0640000000000001</v>
      </c>
      <c r="G309" s="2">
        <v>15.9</v>
      </c>
      <c r="I309" s="46"/>
      <c r="J309" s="2">
        <v>0.41</v>
      </c>
      <c r="K309" s="47"/>
      <c r="L309" s="64"/>
      <c r="M309" s="65"/>
      <c r="N309" s="66"/>
      <c r="O309" s="67"/>
      <c r="P309" s="33"/>
      <c r="Q309" s="68"/>
      <c r="R309" s="42">
        <f>G310+J310</f>
        <v>31.303267100000003</v>
      </c>
      <c r="S309" s="283">
        <f>(R309+R310)*U309</f>
        <v>0</v>
      </c>
      <c r="T309" s="285">
        <f>E309*S309</f>
        <v>0</v>
      </c>
      <c r="U309" s="285"/>
    </row>
    <row r="310" spans="1:21" ht="12">
      <c r="A310" s="44"/>
      <c r="B310" s="275" t="s">
        <v>66</v>
      </c>
      <c r="C310" s="282"/>
      <c r="E310" s="262"/>
      <c r="G310" s="34">
        <f>G309*$J$13/1000</f>
        <v>30.240051000000005</v>
      </c>
      <c r="I310" s="46"/>
      <c r="J310" s="34">
        <f>J309*$Q$13/1000</f>
        <v>1.0632160999999998</v>
      </c>
      <c r="K310" s="47"/>
      <c r="L310" s="287" t="s">
        <v>87</v>
      </c>
      <c r="M310" s="71" t="s">
        <v>28</v>
      </c>
      <c r="N310" s="72">
        <v>105</v>
      </c>
      <c r="O310" s="72">
        <f>E309*N310</f>
        <v>111.72</v>
      </c>
      <c r="P310" s="140">
        <v>2.0960000000000001</v>
      </c>
      <c r="Q310" s="74">
        <f>N310*P310*$N$11</f>
        <v>251.19154317600007</v>
      </c>
      <c r="R310" s="283">
        <f>SUM(Q310:Q315)</f>
        <v>423.99301739130016</v>
      </c>
      <c r="S310" s="284"/>
      <c r="T310" s="286"/>
      <c r="U310" s="286"/>
    </row>
    <row r="311" spans="1:21" ht="12" hidden="1">
      <c r="A311" s="44"/>
      <c r="C311" s="282"/>
      <c r="E311" s="262"/>
      <c r="I311" s="46"/>
      <c r="K311" s="47"/>
      <c r="L311" s="301"/>
      <c r="M311" s="75"/>
      <c r="N311" s="76"/>
      <c r="O311" s="77"/>
      <c r="P311" s="78"/>
      <c r="Q311" s="79"/>
      <c r="R311" s="284"/>
      <c r="S311" s="284"/>
      <c r="T311" s="286"/>
      <c r="U311" s="286"/>
    </row>
    <row r="312" spans="1:21" ht="12" hidden="1">
      <c r="A312" s="44"/>
      <c r="C312" s="282"/>
      <c r="E312" s="262"/>
      <c r="I312" s="46"/>
      <c r="K312" s="47"/>
      <c r="L312" s="268" t="s">
        <v>88</v>
      </c>
      <c r="M312" s="106" t="s">
        <v>29</v>
      </c>
      <c r="N312" s="107">
        <v>169</v>
      </c>
      <c r="O312" s="107">
        <f>E309*N312</f>
        <v>179.816</v>
      </c>
      <c r="P312" s="164">
        <v>0.86099999999999999</v>
      </c>
      <c r="Q312" s="109">
        <f>N312*P312*$N$11</f>
        <v>166.07883613230001</v>
      </c>
      <c r="R312" s="284"/>
      <c r="S312" s="284"/>
      <c r="T312" s="286"/>
      <c r="U312" s="286"/>
    </row>
    <row r="313" spans="1:21" ht="12" hidden="1">
      <c r="A313" s="44"/>
      <c r="C313" s="282"/>
      <c r="E313" s="262"/>
      <c r="I313" s="46"/>
      <c r="K313" s="47"/>
      <c r="L313" s="302" t="s">
        <v>89</v>
      </c>
      <c r="M313" s="106" t="s">
        <v>29</v>
      </c>
      <c r="N313" s="107">
        <v>3.8</v>
      </c>
      <c r="O313" s="107">
        <f>E309*N313</f>
        <v>4.0431999999999997</v>
      </c>
      <c r="P313" s="166">
        <v>0.96699999999999997</v>
      </c>
      <c r="Q313" s="109">
        <f>N313*P313*$N$11</f>
        <v>4.1940587266200007</v>
      </c>
      <c r="R313" s="284"/>
      <c r="S313" s="284"/>
      <c r="T313" s="286"/>
      <c r="U313" s="286"/>
    </row>
    <row r="314" spans="1:21" ht="12" hidden="1">
      <c r="A314" s="44"/>
      <c r="C314" s="282"/>
      <c r="E314" s="262"/>
      <c r="I314" s="46"/>
      <c r="K314" s="47"/>
      <c r="L314" s="301"/>
      <c r="M314" s="75"/>
      <c r="N314" s="76"/>
      <c r="O314" s="77"/>
      <c r="P314" s="78"/>
      <c r="Q314" s="79"/>
      <c r="R314" s="284"/>
      <c r="S314" s="284"/>
      <c r="T314" s="286"/>
      <c r="U314" s="286"/>
    </row>
    <row r="315" spans="1:21" ht="12" hidden="1">
      <c r="A315" s="44"/>
      <c r="C315" s="282"/>
      <c r="E315" s="262"/>
      <c r="I315" s="46"/>
      <c r="K315" s="47"/>
      <c r="L315" s="86" t="s">
        <v>41</v>
      </c>
      <c r="M315" s="87" t="s">
        <v>29</v>
      </c>
      <c r="N315" s="88">
        <v>3.8</v>
      </c>
      <c r="O315" s="88">
        <f>E309*N315</f>
        <v>4.0431999999999997</v>
      </c>
      <c r="P315" s="166">
        <v>0.58299999999999996</v>
      </c>
      <c r="Q315" s="90">
        <f>N315*P315*$N$11</f>
        <v>2.5285793563800003</v>
      </c>
      <c r="R315" s="284"/>
      <c r="S315" s="284"/>
      <c r="T315" s="286"/>
      <c r="U315" s="286"/>
    </row>
    <row r="316" spans="1:21">
      <c r="A316" s="50"/>
      <c r="B316" s="51"/>
      <c r="C316" s="52"/>
      <c r="D316" s="53"/>
      <c r="E316" s="267"/>
      <c r="F316" s="54"/>
      <c r="G316" s="55"/>
      <c r="H316" s="54"/>
      <c r="I316" s="56"/>
      <c r="J316" s="55"/>
      <c r="K316" s="57"/>
      <c r="Q316" s="48"/>
      <c r="R316" s="262"/>
      <c r="S316" s="262"/>
      <c r="T316" s="49"/>
      <c r="U316" s="49"/>
    </row>
    <row r="317" spans="1:21" ht="12">
      <c r="A317" s="63">
        <f>A309+1</f>
        <v>10</v>
      </c>
      <c r="B317" s="274" t="s">
        <v>90</v>
      </c>
      <c r="C317" s="281" t="s">
        <v>128</v>
      </c>
      <c r="D317" s="32" t="s">
        <v>91</v>
      </c>
      <c r="E317" s="261">
        <v>10</v>
      </c>
      <c r="F317" s="33"/>
      <c r="G317" s="34">
        <v>2.12</v>
      </c>
      <c r="H317" s="33"/>
      <c r="I317" s="35"/>
      <c r="J317" s="34">
        <v>0.03</v>
      </c>
      <c r="K317" s="36"/>
      <c r="L317" s="64"/>
      <c r="M317" s="65"/>
      <c r="N317" s="66"/>
      <c r="O317" s="67"/>
      <c r="P317" s="33"/>
      <c r="Q317" s="68"/>
      <c r="R317" s="42">
        <f>G318+J318</f>
        <v>4.1098031000000006</v>
      </c>
      <c r="S317" s="283">
        <f>(R317+R318)*U317</f>
        <v>0</v>
      </c>
      <c r="T317" s="285">
        <f>E317*S317</f>
        <v>0</v>
      </c>
      <c r="U317" s="285"/>
    </row>
    <row r="318" spans="1:21" ht="12">
      <c r="A318" s="44"/>
      <c r="C318" s="282"/>
      <c r="E318" s="262"/>
      <c r="G318" s="34">
        <f>G317*$J$13/1000</f>
        <v>4.0320068000000004</v>
      </c>
      <c r="I318" s="46"/>
      <c r="J318" s="34">
        <f>J317*$Q$13/1000</f>
        <v>7.7796299999999999E-2</v>
      </c>
      <c r="K318" s="47"/>
      <c r="L318" s="265" t="s">
        <v>92</v>
      </c>
      <c r="M318" s="71" t="s">
        <v>30</v>
      </c>
      <c r="N318" s="72">
        <v>10.4</v>
      </c>
      <c r="O318" s="72">
        <f>E317*N318</f>
        <v>104</v>
      </c>
      <c r="P318" s="140">
        <v>1.278</v>
      </c>
      <c r="Q318" s="74">
        <f>N318*P318*$N$11</f>
        <v>15.170106500640003</v>
      </c>
      <c r="R318" s="283">
        <f>SUM(Q318:Q322)</f>
        <v>29.058916989060002</v>
      </c>
      <c r="S318" s="284"/>
      <c r="T318" s="286"/>
      <c r="U318" s="286"/>
    </row>
    <row r="319" spans="1:21" ht="3" customHeight="1">
      <c r="A319" s="44"/>
      <c r="C319" s="282"/>
      <c r="E319" s="262"/>
      <c r="I319" s="46"/>
      <c r="K319" s="47"/>
      <c r="L319" s="268" t="s">
        <v>60</v>
      </c>
      <c r="M319" s="106" t="s">
        <v>59</v>
      </c>
      <c r="N319" s="107">
        <v>1</v>
      </c>
      <c r="O319" s="107">
        <f>E317*N319</f>
        <v>10</v>
      </c>
      <c r="P319" s="164">
        <v>1.458</v>
      </c>
      <c r="Q319" s="109">
        <f>N319*P319*$N$11</f>
        <v>1.6641097326000003</v>
      </c>
      <c r="R319" s="284"/>
      <c r="S319" s="284"/>
      <c r="T319" s="286"/>
      <c r="U319" s="286"/>
    </row>
    <row r="320" spans="1:21" ht="12" hidden="1">
      <c r="A320" s="44"/>
      <c r="C320" s="282"/>
      <c r="E320" s="262"/>
      <c r="I320" s="46"/>
      <c r="K320" s="47"/>
      <c r="L320" s="268" t="s">
        <v>114</v>
      </c>
      <c r="M320" s="106" t="s">
        <v>59</v>
      </c>
      <c r="N320" s="107">
        <v>2</v>
      </c>
      <c r="O320" s="107">
        <f>E317*N320</f>
        <v>20</v>
      </c>
      <c r="P320" s="164">
        <v>0.81299999999999994</v>
      </c>
      <c r="Q320" s="109">
        <f t="shared" ref="Q320:Q322" si="2">N320*P320*$N$11</f>
        <v>1.8558590022000003</v>
      </c>
      <c r="R320" s="284"/>
      <c r="S320" s="284"/>
      <c r="T320" s="286"/>
      <c r="U320" s="286"/>
    </row>
    <row r="321" spans="1:21" ht="12" hidden="1">
      <c r="A321" s="44"/>
      <c r="C321" s="282"/>
      <c r="E321" s="262"/>
      <c r="I321" s="46"/>
      <c r="K321" s="47"/>
      <c r="L321" s="268" t="s">
        <v>93</v>
      </c>
      <c r="M321" s="106" t="s">
        <v>59</v>
      </c>
      <c r="N321" s="107">
        <v>1</v>
      </c>
      <c r="O321" s="107">
        <f>E317*N321</f>
        <v>10</v>
      </c>
      <c r="P321" s="164">
        <v>1.68</v>
      </c>
      <c r="Q321" s="109">
        <f t="shared" si="2"/>
        <v>1.9174926960000003</v>
      </c>
      <c r="R321" s="284"/>
      <c r="S321" s="284"/>
      <c r="T321" s="286"/>
      <c r="U321" s="286"/>
    </row>
    <row r="322" spans="1:21" ht="12">
      <c r="A322" s="50"/>
      <c r="B322" s="51"/>
      <c r="C322" s="289"/>
      <c r="D322" s="53"/>
      <c r="E322" s="267"/>
      <c r="F322" s="54"/>
      <c r="G322" s="55"/>
      <c r="H322" s="54"/>
      <c r="I322" s="56"/>
      <c r="J322" s="55"/>
      <c r="K322" s="57"/>
      <c r="L322" s="147" t="s">
        <v>88</v>
      </c>
      <c r="M322" s="148" t="s">
        <v>29</v>
      </c>
      <c r="N322" s="149">
        <v>8.6</v>
      </c>
      <c r="O322" s="149">
        <f>E317*N322</f>
        <v>86</v>
      </c>
      <c r="P322" s="168">
        <v>0.86099999999999999</v>
      </c>
      <c r="Q322" s="151">
        <f t="shared" si="2"/>
        <v>8.4513490576200017</v>
      </c>
      <c r="R322" s="290"/>
      <c r="S322" s="290"/>
      <c r="T322" s="286"/>
      <c r="U322" s="286"/>
    </row>
    <row r="323" spans="1:21" ht="12">
      <c r="A323" s="31">
        <f>A317+1</f>
        <v>11</v>
      </c>
      <c r="B323" s="275" t="s">
        <v>36</v>
      </c>
      <c r="C323" s="281" t="s">
        <v>94</v>
      </c>
      <c r="D323" s="45" t="s">
        <v>28</v>
      </c>
      <c r="E323" s="262">
        <v>30</v>
      </c>
      <c r="G323" s="2">
        <v>0.45800000000000002</v>
      </c>
      <c r="I323" s="46"/>
      <c r="J323" s="2">
        <v>4.1000000000000064E-3</v>
      </c>
      <c r="K323" s="47"/>
      <c r="L323" s="64"/>
      <c r="M323" s="65"/>
      <c r="N323" s="66"/>
      <c r="O323" s="67"/>
      <c r="P323" s="33"/>
      <c r="Q323" s="68"/>
      <c r="R323" s="42">
        <f>G324+J324</f>
        <v>0.88169778100000007</v>
      </c>
      <c r="S323" s="283">
        <f>(R323+R324)*U323</f>
        <v>0</v>
      </c>
      <c r="T323" s="285">
        <f>E323*S323</f>
        <v>0</v>
      </c>
      <c r="U323" s="285"/>
    </row>
    <row r="324" spans="1:21" ht="12">
      <c r="A324" s="44"/>
      <c r="B324" s="275" t="s">
        <v>37</v>
      </c>
      <c r="C324" s="282"/>
      <c r="E324" s="262"/>
      <c r="G324" s="34">
        <f>G323*$J$13/1000</f>
        <v>0.8710656200000001</v>
      </c>
      <c r="I324" s="46"/>
      <c r="J324" s="34">
        <f>J323*$Q$13/1000</f>
        <v>1.0632161000000017E-2</v>
      </c>
      <c r="K324" s="47"/>
      <c r="L324" s="287" t="s">
        <v>95</v>
      </c>
      <c r="M324" s="71" t="s">
        <v>28</v>
      </c>
      <c r="N324" s="146">
        <v>1.0249999999999999</v>
      </c>
      <c r="O324" s="72">
        <f>E323*N324</f>
        <v>30.749999999999996</v>
      </c>
      <c r="P324" s="140">
        <v>2.0960000000000001</v>
      </c>
      <c r="Q324" s="74">
        <f>N324*P324*$N$11</f>
        <v>2.4521079214800006</v>
      </c>
      <c r="R324" s="262">
        <f>SUM(Q324:Q324)</f>
        <v>2.4521079214800006</v>
      </c>
      <c r="S324" s="284"/>
      <c r="T324" s="286"/>
      <c r="U324" s="286"/>
    </row>
    <row r="325" spans="1:21" ht="12">
      <c r="A325" s="44"/>
      <c r="C325" s="282"/>
      <c r="E325" s="262"/>
      <c r="I325" s="46"/>
      <c r="K325" s="47"/>
      <c r="L325" s="288"/>
      <c r="M325" s="80"/>
      <c r="N325" s="81"/>
      <c r="O325" s="82"/>
      <c r="P325" s="83"/>
      <c r="Q325" s="84"/>
      <c r="R325" s="262"/>
      <c r="S325" s="262"/>
      <c r="T325" s="49"/>
      <c r="U325" s="49"/>
    </row>
    <row r="326" spans="1:21">
      <c r="A326" s="50"/>
      <c r="B326" s="51"/>
      <c r="C326" s="52"/>
      <c r="D326" s="53"/>
      <c r="E326" s="267"/>
      <c r="F326" s="54"/>
      <c r="G326" s="55"/>
      <c r="H326" s="54"/>
      <c r="I326" s="56"/>
      <c r="J326" s="55"/>
      <c r="K326" s="57"/>
      <c r="Q326" s="48"/>
      <c r="R326" s="262"/>
      <c r="S326" s="262"/>
      <c r="T326" s="49"/>
      <c r="U326" s="49"/>
    </row>
    <row r="327" spans="1:21" ht="24" customHeight="1">
      <c r="A327" s="31">
        <f>A323+1</f>
        <v>12</v>
      </c>
      <c r="B327" s="275" t="s">
        <v>36</v>
      </c>
      <c r="C327" s="281" t="s">
        <v>105</v>
      </c>
      <c r="D327" s="45" t="s">
        <v>28</v>
      </c>
      <c r="E327" s="262">
        <v>16.5</v>
      </c>
      <c r="G327" s="2">
        <v>0.45800000000000002</v>
      </c>
      <c r="I327" s="46"/>
      <c r="J327" s="2">
        <v>4.1000000000000064E-3</v>
      </c>
      <c r="K327" s="47"/>
      <c r="L327" s="64"/>
      <c r="M327" s="65"/>
      <c r="N327" s="66"/>
      <c r="O327" s="67"/>
      <c r="P327" s="33"/>
      <c r="Q327" s="68"/>
      <c r="R327" s="42">
        <f>G328+J328</f>
        <v>0.88169778100000007</v>
      </c>
      <c r="S327" s="283">
        <f>(R327+R328)*U327</f>
        <v>0</v>
      </c>
      <c r="T327" s="285">
        <f>E327*S327</f>
        <v>0</v>
      </c>
      <c r="U327" s="285"/>
    </row>
    <row r="328" spans="1:21" ht="12">
      <c r="A328" s="44"/>
      <c r="B328" s="275" t="s">
        <v>37</v>
      </c>
      <c r="C328" s="282"/>
      <c r="E328" s="262"/>
      <c r="G328" s="34">
        <f>G327*$J$13/1000</f>
        <v>0.8710656200000001</v>
      </c>
      <c r="I328" s="46"/>
      <c r="J328" s="34">
        <f>J327*$Q$13/1000</f>
        <v>1.0632161000000017E-2</v>
      </c>
      <c r="K328" s="47"/>
      <c r="L328" s="287" t="s">
        <v>95</v>
      </c>
      <c r="M328" s="71" t="s">
        <v>28</v>
      </c>
      <c r="N328" s="146">
        <v>1.0249999999999999</v>
      </c>
      <c r="O328" s="72">
        <f>E327*N328</f>
        <v>16.912499999999998</v>
      </c>
      <c r="P328" s="140">
        <v>2.0960000000000001</v>
      </c>
      <c r="Q328" s="74">
        <f>N328*P328*$N$11</f>
        <v>2.4521079214800006</v>
      </c>
      <c r="R328" s="262">
        <f>SUM(Q328:Q328)</f>
        <v>2.4521079214800006</v>
      </c>
      <c r="S328" s="284"/>
      <c r="T328" s="286"/>
      <c r="U328" s="286"/>
    </row>
    <row r="329" spans="1:21" ht="0.75" customHeight="1">
      <c r="A329" s="44"/>
      <c r="C329" s="282"/>
      <c r="E329" s="262"/>
      <c r="I329" s="46"/>
      <c r="K329" s="47"/>
      <c r="L329" s="288"/>
      <c r="M329" s="80"/>
      <c r="N329" s="81"/>
      <c r="O329" s="82"/>
      <c r="P329" s="83"/>
      <c r="Q329" s="84"/>
      <c r="R329" s="262"/>
      <c r="S329" s="262"/>
      <c r="T329" s="49"/>
      <c r="U329" s="49"/>
    </row>
    <row r="330" spans="1:21">
      <c r="A330" s="50"/>
      <c r="B330" s="51"/>
      <c r="C330" s="52"/>
      <c r="D330" s="53"/>
      <c r="E330" s="267"/>
      <c r="F330" s="54"/>
      <c r="G330" s="55"/>
      <c r="H330" s="54"/>
      <c r="I330" s="56"/>
      <c r="J330" s="55"/>
      <c r="K330" s="57"/>
      <c r="Q330" s="48"/>
      <c r="R330" s="262"/>
      <c r="S330" s="262"/>
      <c r="T330" s="49"/>
      <c r="U330" s="49"/>
    </row>
    <row r="331" spans="1:21" ht="24" customHeight="1">
      <c r="A331" s="31">
        <f>A327+1</f>
        <v>13</v>
      </c>
      <c r="B331" s="275" t="s">
        <v>36</v>
      </c>
      <c r="C331" s="281" t="s">
        <v>96</v>
      </c>
      <c r="D331" s="45" t="s">
        <v>28</v>
      </c>
      <c r="E331" s="262">
        <v>10.4</v>
      </c>
      <c r="G331" s="2">
        <v>0.45800000000000002</v>
      </c>
      <c r="I331" s="46"/>
      <c r="J331" s="2">
        <v>4.1000000000000064E-3</v>
      </c>
      <c r="K331" s="47"/>
      <c r="L331" s="64"/>
      <c r="M331" s="65"/>
      <c r="N331" s="66"/>
      <c r="O331" s="67"/>
      <c r="P331" s="33"/>
      <c r="Q331" s="68"/>
      <c r="R331" s="42">
        <f>G332+J332</f>
        <v>0.88169778100000007</v>
      </c>
      <c r="S331" s="283">
        <f>(R331+R332)*U331</f>
        <v>0</v>
      </c>
      <c r="T331" s="285">
        <f>E331*S331</f>
        <v>0</v>
      </c>
      <c r="U331" s="285"/>
    </row>
    <row r="332" spans="1:21" ht="12">
      <c r="A332" s="44"/>
      <c r="B332" s="275" t="s">
        <v>37</v>
      </c>
      <c r="C332" s="282"/>
      <c r="E332" s="262"/>
      <c r="G332" s="34">
        <f>G331*$J$13/1000</f>
        <v>0.8710656200000001</v>
      </c>
      <c r="I332" s="46"/>
      <c r="J332" s="34">
        <f>J331*$Q$13/1000</f>
        <v>1.0632161000000017E-2</v>
      </c>
      <c r="K332" s="47"/>
      <c r="L332" s="287" t="s">
        <v>95</v>
      </c>
      <c r="M332" s="71" t="s">
        <v>28</v>
      </c>
      <c r="N332" s="146">
        <v>1.0249999999999999</v>
      </c>
      <c r="O332" s="72">
        <f>E331*N332</f>
        <v>10.66</v>
      </c>
      <c r="P332" s="140">
        <v>2.0960000000000001</v>
      </c>
      <c r="Q332" s="74">
        <f>N332*P332*$N$11</f>
        <v>2.4521079214800006</v>
      </c>
      <c r="R332" s="262">
        <f>SUM(Q332:Q332)</f>
        <v>2.4521079214800006</v>
      </c>
      <c r="S332" s="284"/>
      <c r="T332" s="286"/>
      <c r="U332" s="286"/>
    </row>
    <row r="333" spans="1:21" ht="12" hidden="1">
      <c r="A333" s="44"/>
      <c r="C333" s="282"/>
      <c r="E333" s="262"/>
      <c r="I333" s="46"/>
      <c r="K333" s="47"/>
      <c r="L333" s="288"/>
      <c r="M333" s="80"/>
      <c r="N333" s="81"/>
      <c r="O333" s="82"/>
      <c r="P333" s="83"/>
      <c r="Q333" s="84"/>
      <c r="R333" s="262"/>
      <c r="S333" s="262"/>
      <c r="T333" s="49"/>
      <c r="U333" s="49"/>
    </row>
    <row r="334" spans="1:21">
      <c r="A334" s="50"/>
      <c r="B334" s="51"/>
      <c r="C334" s="52"/>
      <c r="D334" s="53"/>
      <c r="E334" s="267"/>
      <c r="F334" s="54"/>
      <c r="G334" s="55"/>
      <c r="H334" s="54"/>
      <c r="I334" s="56"/>
      <c r="J334" s="55"/>
      <c r="K334" s="57"/>
      <c r="Q334" s="48"/>
      <c r="R334" s="262"/>
      <c r="S334" s="262"/>
      <c r="T334" s="49"/>
      <c r="U334" s="49"/>
    </row>
    <row r="335" spans="1:21" ht="24" customHeight="1">
      <c r="A335" s="31">
        <f>A331+1</f>
        <v>14</v>
      </c>
      <c r="B335" s="275" t="s">
        <v>36</v>
      </c>
      <c r="C335" s="281" t="s">
        <v>97</v>
      </c>
      <c r="D335" s="45" t="s">
        <v>28</v>
      </c>
      <c r="E335" s="262">
        <v>6.4</v>
      </c>
      <c r="G335" s="2">
        <v>0.45800000000000002</v>
      </c>
      <c r="I335" s="46"/>
      <c r="J335" s="2">
        <v>4.1000000000000064E-3</v>
      </c>
      <c r="K335" s="47"/>
      <c r="L335" s="64"/>
      <c r="M335" s="65"/>
      <c r="N335" s="66"/>
      <c r="O335" s="67"/>
      <c r="P335" s="33"/>
      <c r="Q335" s="68"/>
      <c r="R335" s="42">
        <f>G336+J336</f>
        <v>0.88169778100000007</v>
      </c>
      <c r="S335" s="283">
        <f>(R335+R336)*U335</f>
        <v>0</v>
      </c>
      <c r="T335" s="285">
        <f>E335*S335</f>
        <v>0</v>
      </c>
      <c r="U335" s="285"/>
    </row>
    <row r="336" spans="1:21" ht="12">
      <c r="A336" s="44"/>
      <c r="B336" s="275" t="s">
        <v>37</v>
      </c>
      <c r="C336" s="282"/>
      <c r="E336" s="262"/>
      <c r="G336" s="34">
        <f>G335*$J$13/1000</f>
        <v>0.8710656200000001</v>
      </c>
      <c r="I336" s="46"/>
      <c r="J336" s="34">
        <f>J335*$Q$13/1000</f>
        <v>1.0632161000000017E-2</v>
      </c>
      <c r="K336" s="47"/>
      <c r="L336" s="287" t="s">
        <v>95</v>
      </c>
      <c r="M336" s="71" t="s">
        <v>28</v>
      </c>
      <c r="N336" s="146">
        <v>1.0249999999999999</v>
      </c>
      <c r="O336" s="72">
        <f>E335*N336</f>
        <v>6.56</v>
      </c>
      <c r="P336" s="140">
        <v>2.0960000000000001</v>
      </c>
      <c r="Q336" s="74">
        <f>N336*P336*$N$11</f>
        <v>2.4521079214800006</v>
      </c>
      <c r="R336" s="262">
        <f>SUM(Q336:Q336)</f>
        <v>2.4521079214800006</v>
      </c>
      <c r="S336" s="284"/>
      <c r="T336" s="286"/>
      <c r="U336" s="286"/>
    </row>
    <row r="337" spans="1:21" ht="0.75" customHeight="1">
      <c r="A337" s="44"/>
      <c r="C337" s="282"/>
      <c r="E337" s="262"/>
      <c r="I337" s="46"/>
      <c r="K337" s="47"/>
      <c r="L337" s="288"/>
      <c r="M337" s="80"/>
      <c r="N337" s="81"/>
      <c r="O337" s="82"/>
      <c r="P337" s="83"/>
      <c r="Q337" s="84"/>
      <c r="R337" s="262"/>
      <c r="S337" s="262"/>
      <c r="T337" s="49"/>
      <c r="U337" s="49"/>
    </row>
    <row r="338" spans="1:21">
      <c r="A338" s="50"/>
      <c r="B338" s="51"/>
      <c r="C338" s="52"/>
      <c r="D338" s="53"/>
      <c r="E338" s="267"/>
      <c r="F338" s="54"/>
      <c r="G338" s="55"/>
      <c r="H338" s="54"/>
      <c r="I338" s="56"/>
      <c r="J338" s="55"/>
      <c r="K338" s="57"/>
      <c r="Q338" s="48"/>
      <c r="R338" s="262"/>
      <c r="S338" s="262"/>
      <c r="T338" s="49"/>
      <c r="U338" s="49"/>
    </row>
    <row r="339" spans="1:21" ht="12">
      <c r="A339" s="31">
        <f>A335+1</f>
        <v>15</v>
      </c>
      <c r="B339" s="274" t="s">
        <v>51</v>
      </c>
      <c r="C339" s="281" t="s">
        <v>98</v>
      </c>
      <c r="D339" s="45" t="s">
        <v>26</v>
      </c>
      <c r="E339" s="152">
        <f>1.6*E344/1000</f>
        <v>7.1520000000000014E-2</v>
      </c>
      <c r="G339" s="2">
        <v>15.4</v>
      </c>
      <c r="I339" s="46"/>
      <c r="J339" s="2">
        <v>11.4</v>
      </c>
      <c r="K339" s="47"/>
      <c r="L339" s="64"/>
      <c r="M339" s="65"/>
      <c r="N339" s="66"/>
      <c r="O339" s="67"/>
      <c r="P339" s="33"/>
      <c r="Q339" s="68"/>
      <c r="R339" s="42">
        <f>G340+J340</f>
        <v>58.851700000000008</v>
      </c>
      <c r="S339" s="283">
        <f>(R339+R340)*U339</f>
        <v>0</v>
      </c>
      <c r="T339" s="285">
        <f>E339*S339</f>
        <v>0</v>
      </c>
      <c r="U339" s="285"/>
    </row>
    <row r="340" spans="1:21" ht="12">
      <c r="A340" s="44"/>
      <c r="B340" s="275"/>
      <c r="C340" s="282"/>
      <c r="E340" s="262"/>
      <c r="G340" s="34">
        <f>G339*$J$13/1000</f>
        <v>29.289106000000004</v>
      </c>
      <c r="I340" s="46"/>
      <c r="J340" s="34">
        <f>J339*$Q$13/1000</f>
        <v>29.562594000000001</v>
      </c>
      <c r="K340" s="47"/>
      <c r="L340" s="299"/>
      <c r="M340" s="71"/>
      <c r="N340" s="72"/>
      <c r="O340" s="72"/>
      <c r="P340" s="73"/>
      <c r="Q340" s="74"/>
      <c r="R340" s="283">
        <f>SUM(Q340:Q342)</f>
        <v>0</v>
      </c>
      <c r="S340" s="284"/>
      <c r="T340" s="286"/>
      <c r="U340" s="286"/>
    </row>
    <row r="341" spans="1:21" ht="10.5" customHeight="1">
      <c r="A341" s="44"/>
      <c r="C341" s="282"/>
      <c r="E341" s="262"/>
      <c r="I341" s="46"/>
      <c r="K341" s="47"/>
      <c r="L341" s="300"/>
      <c r="M341" s="75"/>
      <c r="N341" s="76"/>
      <c r="O341" s="77"/>
      <c r="P341" s="78"/>
      <c r="Q341" s="79"/>
      <c r="R341" s="284"/>
      <c r="S341" s="284"/>
      <c r="T341" s="286"/>
      <c r="U341" s="286"/>
    </row>
    <row r="342" spans="1:21" ht="12" hidden="1">
      <c r="A342" s="44"/>
      <c r="C342" s="282"/>
      <c r="E342" s="262"/>
      <c r="I342" s="46"/>
      <c r="K342" s="47"/>
      <c r="L342" s="268"/>
      <c r="M342" s="106"/>
      <c r="N342" s="107"/>
      <c r="O342" s="107"/>
      <c r="P342" s="108"/>
      <c r="Q342" s="109"/>
      <c r="R342" s="284"/>
      <c r="S342" s="284"/>
      <c r="T342" s="286"/>
      <c r="U342" s="286"/>
    </row>
    <row r="343" spans="1:21">
      <c r="A343" s="50"/>
      <c r="B343" s="51"/>
      <c r="C343" s="52"/>
      <c r="D343" s="53"/>
      <c r="E343" s="267"/>
      <c r="F343" s="54"/>
      <c r="G343" s="55"/>
      <c r="H343" s="54"/>
      <c r="I343" s="56"/>
      <c r="J343" s="55"/>
      <c r="K343" s="57"/>
      <c r="Q343" s="48"/>
      <c r="R343" s="262"/>
      <c r="S343" s="262"/>
      <c r="T343" s="49"/>
      <c r="U343" s="49"/>
    </row>
    <row r="344" spans="1:21" ht="12">
      <c r="A344" s="31">
        <f>A339+1</f>
        <v>16</v>
      </c>
      <c r="B344" s="275" t="s">
        <v>44</v>
      </c>
      <c r="C344" s="281" t="s">
        <v>52</v>
      </c>
      <c r="D344" s="45" t="s">
        <v>30</v>
      </c>
      <c r="E344" s="262">
        <v>44.7</v>
      </c>
      <c r="I344" s="46"/>
      <c r="K344" s="47"/>
      <c r="L344" s="64"/>
      <c r="M344" s="65"/>
      <c r="N344" s="66"/>
      <c r="O344" s="67"/>
      <c r="P344" s="33"/>
      <c r="Q344" s="68"/>
      <c r="R344" s="42">
        <f>G345+J345</f>
        <v>0</v>
      </c>
      <c r="S344" s="283">
        <f>(R344+R345)*U344</f>
        <v>0</v>
      </c>
      <c r="T344" s="285">
        <f>E344*S344</f>
        <v>0</v>
      </c>
      <c r="U344" s="285"/>
    </row>
    <row r="345" spans="1:21" ht="12">
      <c r="A345" s="44"/>
      <c r="B345" s="275"/>
      <c r="C345" s="282"/>
      <c r="E345" s="262"/>
      <c r="G345" s="34">
        <f>G344*$J$13/1000</f>
        <v>0</v>
      </c>
      <c r="I345" s="46"/>
      <c r="J345" s="34">
        <f>J344*$Q$13/1000</f>
        <v>0</v>
      </c>
      <c r="K345" s="47"/>
      <c r="L345" s="299" t="s">
        <v>53</v>
      </c>
      <c r="M345" s="71" t="s">
        <v>30</v>
      </c>
      <c r="N345" s="72">
        <v>1</v>
      </c>
      <c r="O345" s="72">
        <f>E344*N345</f>
        <v>44.7</v>
      </c>
      <c r="P345" s="73">
        <v>0.64800000000000002</v>
      </c>
      <c r="Q345" s="74">
        <f>N345*P345*$N$11</f>
        <v>0.73960432560000022</v>
      </c>
      <c r="R345" s="283">
        <f>SUM(Q345:Q347)</f>
        <v>0.73960432560000022</v>
      </c>
      <c r="S345" s="284"/>
      <c r="T345" s="286"/>
      <c r="U345" s="286"/>
    </row>
    <row r="346" spans="1:21" ht="9" customHeight="1">
      <c r="A346" s="44"/>
      <c r="C346" s="282"/>
      <c r="E346" s="262"/>
      <c r="I346" s="46"/>
      <c r="K346" s="47"/>
      <c r="L346" s="300"/>
      <c r="M346" s="75"/>
      <c r="N346" s="76"/>
      <c r="O346" s="77"/>
      <c r="P346" s="78"/>
      <c r="Q346" s="79"/>
      <c r="R346" s="284"/>
      <c r="S346" s="284"/>
      <c r="T346" s="286"/>
      <c r="U346" s="286"/>
    </row>
    <row r="347" spans="1:21" ht="12" hidden="1">
      <c r="A347" s="44"/>
      <c r="C347" s="282"/>
      <c r="E347" s="262"/>
      <c r="I347" s="46"/>
      <c r="K347" s="47"/>
      <c r="L347" s="268"/>
      <c r="M347" s="106"/>
      <c r="N347" s="107"/>
      <c r="O347" s="107"/>
      <c r="P347" s="108"/>
      <c r="Q347" s="109"/>
      <c r="R347" s="284"/>
      <c r="S347" s="284"/>
      <c r="T347" s="286"/>
      <c r="U347" s="286"/>
    </row>
    <row r="348" spans="1:21">
      <c r="A348" s="50"/>
      <c r="B348" s="51"/>
      <c r="C348" s="52"/>
      <c r="D348" s="53"/>
      <c r="E348" s="267"/>
      <c r="F348" s="54"/>
      <c r="G348" s="55"/>
      <c r="H348" s="54"/>
      <c r="I348" s="56"/>
      <c r="J348" s="55"/>
      <c r="K348" s="57"/>
      <c r="Q348" s="48"/>
      <c r="R348" s="262"/>
      <c r="S348" s="262"/>
      <c r="T348" s="49"/>
      <c r="U348" s="49"/>
    </row>
    <row r="349" spans="1:21" ht="24" customHeight="1">
      <c r="A349" s="31">
        <f>A339+1</f>
        <v>16</v>
      </c>
      <c r="B349" s="275" t="s">
        <v>36</v>
      </c>
      <c r="C349" s="281" t="s">
        <v>131</v>
      </c>
      <c r="D349" s="45" t="s">
        <v>28</v>
      </c>
      <c r="E349" s="262">
        <v>42</v>
      </c>
      <c r="G349" s="2">
        <v>0.45800000000000002</v>
      </c>
      <c r="I349" s="46"/>
      <c r="J349" s="2">
        <v>4.1000000000000064E-3</v>
      </c>
      <c r="K349" s="47"/>
      <c r="L349" s="64"/>
      <c r="M349" s="65"/>
      <c r="N349" s="66"/>
      <c r="O349" s="67"/>
      <c r="P349" s="33"/>
      <c r="Q349" s="68"/>
      <c r="R349" s="42">
        <f>G350+J350</f>
        <v>0.88169778100000007</v>
      </c>
      <c r="S349" s="283">
        <f>(R349+R350)*U349</f>
        <v>0</v>
      </c>
      <c r="T349" s="285">
        <f>E349*S349</f>
        <v>0</v>
      </c>
      <c r="U349" s="285"/>
    </row>
    <row r="350" spans="1:21" ht="12">
      <c r="A350" s="44"/>
      <c r="B350" s="275" t="s">
        <v>37</v>
      </c>
      <c r="C350" s="282"/>
      <c r="E350" s="262"/>
      <c r="G350" s="34">
        <f>G349*$J$13/1000</f>
        <v>0.8710656200000001</v>
      </c>
      <c r="I350" s="46"/>
      <c r="J350" s="34">
        <f>J349*$Q$13/1000</f>
        <v>1.0632161000000017E-2</v>
      </c>
      <c r="K350" s="47"/>
      <c r="L350" s="287" t="s">
        <v>95</v>
      </c>
      <c r="M350" s="71" t="s">
        <v>28</v>
      </c>
      <c r="N350" s="146">
        <v>1.0249999999999999</v>
      </c>
      <c r="O350" s="72">
        <f>E349*N350</f>
        <v>43.05</v>
      </c>
      <c r="P350" s="140">
        <v>2.0960000000000001</v>
      </c>
      <c r="Q350" s="74">
        <f>N350*P350*$N$11</f>
        <v>2.4521079214800006</v>
      </c>
      <c r="R350" s="262">
        <f>SUM(Q350:Q350)</f>
        <v>2.4521079214800006</v>
      </c>
      <c r="S350" s="284"/>
      <c r="T350" s="286"/>
      <c r="U350" s="286"/>
    </row>
    <row r="351" spans="1:21" ht="1.5" customHeight="1">
      <c r="A351" s="44"/>
      <c r="C351" s="282"/>
      <c r="E351" s="262"/>
      <c r="I351" s="46"/>
      <c r="K351" s="47"/>
      <c r="L351" s="288"/>
      <c r="M351" s="80"/>
      <c r="N351" s="81"/>
      <c r="O351" s="82"/>
      <c r="P351" s="83"/>
      <c r="Q351" s="84"/>
      <c r="R351" s="262"/>
      <c r="S351" s="262"/>
      <c r="T351" s="49"/>
      <c r="U351" s="49"/>
    </row>
    <row r="352" spans="1:21">
      <c r="A352" s="50"/>
      <c r="B352" s="51"/>
      <c r="C352" s="52"/>
      <c r="D352" s="53"/>
      <c r="E352" s="267"/>
      <c r="F352" s="54"/>
      <c r="G352" s="55"/>
      <c r="H352" s="54"/>
      <c r="I352" s="56"/>
      <c r="J352" s="55"/>
      <c r="K352" s="57"/>
      <c r="Q352" s="48"/>
      <c r="R352" s="262"/>
      <c r="S352" s="262"/>
      <c r="T352" s="49"/>
      <c r="U352" s="49"/>
    </row>
    <row r="353" spans="1:21" ht="12">
      <c r="A353" s="63">
        <f>A344+1</f>
        <v>17</v>
      </c>
      <c r="B353" s="274" t="s">
        <v>68</v>
      </c>
      <c r="C353" s="281" t="s">
        <v>99</v>
      </c>
      <c r="D353" s="32" t="s">
        <v>65</v>
      </c>
      <c r="E353" s="162">
        <f>E361/100</f>
        <v>1.0640000000000001</v>
      </c>
      <c r="F353" s="33"/>
      <c r="G353" s="34">
        <f>6.2</f>
        <v>6.2</v>
      </c>
      <c r="H353" s="33"/>
      <c r="I353" s="35"/>
      <c r="J353" s="34">
        <f>0.38</f>
        <v>0.38</v>
      </c>
      <c r="K353" s="36"/>
      <c r="L353" s="64"/>
      <c r="M353" s="65"/>
      <c r="N353" s="66"/>
      <c r="O353" s="67"/>
      <c r="P353" s="33"/>
      <c r="Q353" s="68"/>
      <c r="R353" s="42">
        <f>G354+J354</f>
        <v>12.777137800000002</v>
      </c>
      <c r="S353" s="283">
        <f>(R353+R354)*U353</f>
        <v>0</v>
      </c>
      <c r="T353" s="285">
        <f>E353*S353</f>
        <v>0</v>
      </c>
      <c r="U353" s="285"/>
    </row>
    <row r="354" spans="1:21" ht="12">
      <c r="A354" s="44"/>
      <c r="B354" s="275"/>
      <c r="C354" s="282"/>
      <c r="E354" s="262"/>
      <c r="G354" s="34">
        <f>G353*$J$13/1000</f>
        <v>11.791718000000001</v>
      </c>
      <c r="I354" s="46"/>
      <c r="J354" s="34">
        <f>J353*$Q$13/1000</f>
        <v>0.98541979999999996</v>
      </c>
      <c r="K354" s="47"/>
      <c r="L354" s="287"/>
      <c r="M354" s="71"/>
      <c r="N354" s="72"/>
      <c r="O354" s="72"/>
      <c r="P354" s="73"/>
      <c r="Q354" s="74"/>
      <c r="R354" s="283">
        <f>SUM(Q354:Q355)</f>
        <v>0</v>
      </c>
      <c r="S354" s="284"/>
      <c r="T354" s="286"/>
      <c r="U354" s="286"/>
    </row>
    <row r="355" spans="1:21" ht="0.75" customHeight="1">
      <c r="A355" s="44"/>
      <c r="C355" s="282"/>
      <c r="E355" s="262"/>
      <c r="I355" s="46"/>
      <c r="K355" s="47"/>
      <c r="L355" s="301"/>
      <c r="M355" s="75"/>
      <c r="N355" s="76"/>
      <c r="O355" s="77"/>
      <c r="P355" s="78"/>
      <c r="Q355" s="79"/>
      <c r="R355" s="284"/>
      <c r="S355" s="284"/>
      <c r="T355" s="286"/>
      <c r="U355" s="286"/>
    </row>
    <row r="356" spans="1:21">
      <c r="A356" s="50"/>
      <c r="B356" s="51"/>
      <c r="C356" s="52"/>
      <c r="D356" s="53"/>
      <c r="E356" s="267"/>
      <c r="F356" s="54"/>
      <c r="G356" s="55"/>
      <c r="H356" s="54"/>
      <c r="I356" s="56"/>
      <c r="J356" s="55"/>
      <c r="K356" s="57"/>
      <c r="L356" s="58"/>
      <c r="M356" s="59"/>
      <c r="N356" s="60"/>
      <c r="O356" s="85"/>
      <c r="P356" s="54"/>
      <c r="Q356" s="61"/>
      <c r="R356" s="267"/>
      <c r="S356" s="267"/>
      <c r="T356" s="62"/>
      <c r="U356" s="62"/>
    </row>
    <row r="357" spans="1:21" ht="12">
      <c r="A357" s="31">
        <f>A353+1</f>
        <v>18</v>
      </c>
      <c r="B357" s="275" t="s">
        <v>44</v>
      </c>
      <c r="C357" s="281" t="s">
        <v>100</v>
      </c>
      <c r="D357" s="45" t="s">
        <v>30</v>
      </c>
      <c r="E357" s="262">
        <v>71.900000000000006</v>
      </c>
      <c r="I357" s="46"/>
      <c r="K357" s="47"/>
      <c r="L357" s="64"/>
      <c r="M357" s="65"/>
      <c r="N357" s="66"/>
      <c r="O357" s="67"/>
      <c r="P357" s="33"/>
      <c r="Q357" s="68"/>
      <c r="R357" s="42">
        <f>G358+J358</f>
        <v>0</v>
      </c>
      <c r="S357" s="283">
        <f>(R357+R358)*U357</f>
        <v>0</v>
      </c>
      <c r="T357" s="285">
        <f>E357*S357</f>
        <v>0</v>
      </c>
      <c r="U357" s="285"/>
    </row>
    <row r="358" spans="1:21" ht="12">
      <c r="A358" s="44"/>
      <c r="B358" s="275"/>
      <c r="C358" s="282"/>
      <c r="E358" s="262"/>
      <c r="G358" s="34">
        <f>G357*$J$13/1000</f>
        <v>0</v>
      </c>
      <c r="I358" s="46"/>
      <c r="J358" s="34">
        <f>J357*$Q$13/1000</f>
        <v>0</v>
      </c>
      <c r="K358" s="47"/>
      <c r="L358" s="287" t="s">
        <v>101</v>
      </c>
      <c r="M358" s="71" t="s">
        <v>30</v>
      </c>
      <c r="N358" s="72">
        <v>1</v>
      </c>
      <c r="O358" s="72">
        <f>E357*N358</f>
        <v>71.900000000000006</v>
      </c>
      <c r="P358" s="140">
        <v>0.67500000000000004</v>
      </c>
      <c r="Q358" s="74">
        <f>N358*P358*$N$11</f>
        <v>0.7704211725000002</v>
      </c>
      <c r="R358" s="262">
        <f>SUM(Q358:Q358)</f>
        <v>0.7704211725000002</v>
      </c>
      <c r="S358" s="284"/>
      <c r="T358" s="286"/>
      <c r="U358" s="286"/>
    </row>
    <row r="359" spans="1:21" ht="12" hidden="1">
      <c r="A359" s="44"/>
      <c r="C359" s="282"/>
      <c r="E359" s="262"/>
      <c r="I359" s="46"/>
      <c r="K359" s="47"/>
      <c r="L359" s="288"/>
      <c r="M359" s="80"/>
      <c r="N359" s="81"/>
      <c r="O359" s="82"/>
      <c r="P359" s="171"/>
      <c r="Q359" s="84"/>
      <c r="R359" s="262"/>
      <c r="S359" s="262"/>
      <c r="T359" s="49"/>
      <c r="U359" s="49"/>
    </row>
    <row r="360" spans="1:21">
      <c r="A360" s="50"/>
      <c r="B360" s="51"/>
      <c r="C360" s="52"/>
      <c r="D360" s="53"/>
      <c r="E360" s="267"/>
      <c r="F360" s="54"/>
      <c r="G360" s="55"/>
      <c r="H360" s="54"/>
      <c r="I360" s="56"/>
      <c r="J360" s="55"/>
      <c r="K360" s="57"/>
      <c r="P360" s="172"/>
      <c r="Q360" s="48"/>
      <c r="R360" s="262"/>
      <c r="S360" s="262"/>
      <c r="T360" s="49"/>
      <c r="U360" s="49"/>
    </row>
    <row r="361" spans="1:21" ht="12">
      <c r="A361" s="31">
        <f>A357+1</f>
        <v>19</v>
      </c>
      <c r="B361" s="275" t="s">
        <v>44</v>
      </c>
      <c r="C361" s="281" t="s">
        <v>102</v>
      </c>
      <c r="D361" s="45" t="s">
        <v>30</v>
      </c>
      <c r="E361" s="262">
        <v>106.4</v>
      </c>
      <c r="I361" s="46"/>
      <c r="K361" s="47"/>
      <c r="L361" s="64"/>
      <c r="M361" s="65"/>
      <c r="N361" s="66"/>
      <c r="O361" s="67"/>
      <c r="P361" s="165"/>
      <c r="Q361" s="68"/>
      <c r="R361" s="42">
        <f>G362+J362</f>
        <v>0</v>
      </c>
      <c r="S361" s="283">
        <f>(R361+R362)*U361</f>
        <v>0</v>
      </c>
      <c r="T361" s="285">
        <f>E361*S361</f>
        <v>0</v>
      </c>
      <c r="U361" s="285"/>
    </row>
    <row r="362" spans="1:21" ht="9.75" customHeight="1">
      <c r="A362" s="44"/>
      <c r="B362" s="275"/>
      <c r="C362" s="282"/>
      <c r="E362" s="262"/>
      <c r="G362" s="34">
        <f>G361*$J$13/1000</f>
        <v>0</v>
      </c>
      <c r="I362" s="46"/>
      <c r="J362" s="34">
        <f>J361*$Q$13/1000</f>
        <v>0</v>
      </c>
      <c r="K362" s="47"/>
      <c r="L362" s="287" t="s">
        <v>102</v>
      </c>
      <c r="M362" s="71" t="s">
        <v>30</v>
      </c>
      <c r="N362" s="72">
        <v>1</v>
      </c>
      <c r="O362" s="72">
        <f>E361*N362</f>
        <v>106.4</v>
      </c>
      <c r="P362" s="140">
        <v>0.45200000000000001</v>
      </c>
      <c r="Q362" s="74">
        <f>N362*P362*$N$11</f>
        <v>0.51589684440000017</v>
      </c>
      <c r="R362" s="262">
        <f>SUM(Q362:Q362)</f>
        <v>0.51589684440000017</v>
      </c>
      <c r="S362" s="284"/>
      <c r="T362" s="286"/>
      <c r="U362" s="286"/>
    </row>
    <row r="363" spans="1:21" ht="12" hidden="1">
      <c r="A363" s="44"/>
      <c r="C363" s="282"/>
      <c r="E363" s="262"/>
      <c r="I363" s="46"/>
      <c r="K363" s="47"/>
      <c r="L363" s="288"/>
      <c r="M363" s="80"/>
      <c r="N363" s="81"/>
      <c r="O363" s="82"/>
      <c r="P363" s="171"/>
      <c r="Q363" s="84"/>
      <c r="R363" s="262"/>
      <c r="S363" s="262"/>
      <c r="T363" s="49"/>
      <c r="U363" s="49"/>
    </row>
    <row r="364" spans="1:21">
      <c r="A364" s="50"/>
      <c r="B364" s="51"/>
      <c r="C364" s="52"/>
      <c r="D364" s="53"/>
      <c r="E364" s="267"/>
      <c r="F364" s="54"/>
      <c r="G364" s="55"/>
      <c r="H364" s="54"/>
      <c r="I364" s="56"/>
      <c r="J364" s="55"/>
      <c r="K364" s="57"/>
      <c r="P364" s="172"/>
      <c r="Q364" s="48"/>
      <c r="R364" s="262"/>
      <c r="S364" s="262"/>
      <c r="T364" s="49"/>
      <c r="U364" s="49"/>
    </row>
    <row r="365" spans="1:21" ht="12">
      <c r="A365" s="31">
        <f>A361+1</f>
        <v>20</v>
      </c>
      <c r="B365" s="275" t="s">
        <v>44</v>
      </c>
      <c r="C365" s="281" t="s">
        <v>103</v>
      </c>
      <c r="D365" s="45" t="s">
        <v>30</v>
      </c>
      <c r="E365" s="262">
        <v>106.4</v>
      </c>
      <c r="I365" s="46"/>
      <c r="K365" s="47"/>
      <c r="L365" s="64"/>
      <c r="M365" s="65"/>
      <c r="N365" s="66"/>
      <c r="O365" s="67"/>
      <c r="P365" s="165"/>
      <c r="Q365" s="68"/>
      <c r="R365" s="42">
        <f>G366+J366</f>
        <v>0</v>
      </c>
      <c r="S365" s="283">
        <f>(R365+R366)*U365</f>
        <v>0</v>
      </c>
      <c r="T365" s="285">
        <f>E365*S365</f>
        <v>0</v>
      </c>
      <c r="U365" s="285"/>
    </row>
    <row r="366" spans="1:21" ht="12">
      <c r="A366" s="44"/>
      <c r="B366" s="275"/>
      <c r="C366" s="282"/>
      <c r="E366" s="262"/>
      <c r="G366" s="34">
        <f>G365*$J$13/1000</f>
        <v>0</v>
      </c>
      <c r="I366" s="46"/>
      <c r="J366" s="34">
        <f>J365*$Q$13/1000</f>
        <v>0</v>
      </c>
      <c r="K366" s="47"/>
      <c r="L366" s="287" t="s">
        <v>103</v>
      </c>
      <c r="M366" s="71" t="s">
        <v>30</v>
      </c>
      <c r="N366" s="72">
        <v>1</v>
      </c>
      <c r="O366" s="72">
        <f>E365*N366</f>
        <v>106.4</v>
      </c>
      <c r="P366" s="140">
        <v>0.46100000000000002</v>
      </c>
      <c r="Q366" s="74">
        <f>N366*P366*$N$11</f>
        <v>0.52616912670000016</v>
      </c>
      <c r="R366" s="262">
        <f>SUM(Q366:Q366)</f>
        <v>0.52616912670000016</v>
      </c>
      <c r="S366" s="284"/>
      <c r="T366" s="286"/>
      <c r="U366" s="286"/>
    </row>
    <row r="367" spans="1:21" ht="1.5" customHeight="1">
      <c r="A367" s="44"/>
      <c r="C367" s="282"/>
      <c r="E367" s="262"/>
      <c r="I367" s="46"/>
      <c r="K367" s="47"/>
      <c r="L367" s="288"/>
      <c r="M367" s="80"/>
      <c r="N367" s="81"/>
      <c r="O367" s="82"/>
      <c r="P367" s="83"/>
      <c r="Q367" s="84"/>
      <c r="R367" s="262"/>
      <c r="S367" s="262"/>
      <c r="T367" s="49"/>
      <c r="U367" s="49"/>
    </row>
    <row r="368" spans="1:21">
      <c r="A368" s="50"/>
      <c r="B368" s="51"/>
      <c r="C368" s="52"/>
      <c r="D368" s="53"/>
      <c r="E368" s="267"/>
      <c r="F368" s="54"/>
      <c r="G368" s="55"/>
      <c r="H368" s="54"/>
      <c r="I368" s="56"/>
      <c r="J368" s="55"/>
      <c r="K368" s="57"/>
      <c r="Q368" s="48"/>
      <c r="R368" s="262"/>
      <c r="S368" s="262"/>
      <c r="T368" s="49"/>
      <c r="U368" s="49"/>
    </row>
    <row r="369" spans="1:21" ht="18" customHeight="1">
      <c r="A369" s="31">
        <f>A365+1</f>
        <v>21</v>
      </c>
      <c r="B369" s="274" t="s">
        <v>58</v>
      </c>
      <c r="C369" s="281" t="s">
        <v>62</v>
      </c>
      <c r="D369" s="45" t="s">
        <v>28</v>
      </c>
      <c r="E369" s="262">
        <v>21.6</v>
      </c>
      <c r="G369" s="169">
        <f>38.4/100</f>
        <v>0.38400000000000001</v>
      </c>
      <c r="I369" s="46"/>
      <c r="J369" s="2">
        <f>0.03/100</f>
        <v>2.9999999999999997E-4</v>
      </c>
      <c r="K369" s="47"/>
      <c r="L369" s="64"/>
      <c r="M369" s="65"/>
      <c r="N369" s="66"/>
      <c r="O369" s="67"/>
      <c r="P369" s="33"/>
      <c r="Q369" s="68"/>
      <c r="R369" s="42">
        <f>G370+J370</f>
        <v>0.73110372300000004</v>
      </c>
      <c r="S369" s="283">
        <f>(R369+R370)*U369</f>
        <v>0</v>
      </c>
      <c r="T369" s="285">
        <f>E369*S369</f>
        <v>0</v>
      </c>
      <c r="U369" s="285"/>
    </row>
    <row r="370" spans="1:21" ht="11.25" customHeight="1">
      <c r="A370" s="44"/>
      <c r="B370" s="275"/>
      <c r="C370" s="282"/>
      <c r="E370" s="262"/>
      <c r="G370" s="34">
        <f>G369*$J$13/1000</f>
        <v>0.73032576000000005</v>
      </c>
      <c r="I370" s="46"/>
      <c r="J370" s="34">
        <f>J369*$Q$13/1000</f>
        <v>7.7796300000000001E-4</v>
      </c>
      <c r="K370" s="47"/>
      <c r="L370" s="299" t="s">
        <v>61</v>
      </c>
      <c r="M370" s="71" t="s">
        <v>29</v>
      </c>
      <c r="N370" s="72">
        <f>(24.4+0.2+2.7)/100</f>
        <v>0.27299999999999996</v>
      </c>
      <c r="O370" s="72">
        <f>E369*N370</f>
        <v>5.8967999999999998</v>
      </c>
      <c r="P370" s="140">
        <v>0.97799999999999998</v>
      </c>
      <c r="Q370" s="74">
        <f>N370*P370*$N$11</f>
        <v>0.30473752671179999</v>
      </c>
      <c r="R370" s="283">
        <f>SUM(Q370:Q372)</f>
        <v>0.30473752671179999</v>
      </c>
      <c r="S370" s="284"/>
      <c r="T370" s="286"/>
      <c r="U370" s="286"/>
    </row>
    <row r="371" spans="1:21" ht="12" hidden="1">
      <c r="A371" s="44"/>
      <c r="C371" s="282"/>
      <c r="E371" s="262"/>
      <c r="I371" s="46"/>
      <c r="K371" s="47"/>
      <c r="L371" s="300"/>
      <c r="M371" s="75"/>
      <c r="N371" s="76"/>
      <c r="O371" s="77"/>
      <c r="P371" s="78"/>
      <c r="Q371" s="79"/>
      <c r="R371" s="284"/>
      <c r="S371" s="284"/>
      <c r="T371" s="286"/>
      <c r="U371" s="286"/>
    </row>
    <row r="372" spans="1:21" ht="12" hidden="1">
      <c r="A372" s="44"/>
      <c r="C372" s="282"/>
      <c r="E372" s="262"/>
      <c r="I372" s="46"/>
      <c r="K372" s="47"/>
      <c r="L372" s="268"/>
      <c r="M372" s="106"/>
      <c r="N372" s="107"/>
      <c r="O372" s="107"/>
      <c r="P372" s="108"/>
      <c r="Q372" s="109"/>
      <c r="R372" s="284"/>
      <c r="S372" s="284"/>
      <c r="T372" s="286"/>
      <c r="U372" s="286"/>
    </row>
    <row r="373" spans="1:21">
      <c r="A373" s="50"/>
      <c r="B373" s="51"/>
      <c r="C373" s="52"/>
      <c r="D373" s="53"/>
      <c r="E373" s="267"/>
      <c r="F373" s="54"/>
      <c r="G373" s="55"/>
      <c r="H373" s="54"/>
      <c r="I373" s="56"/>
      <c r="J373" s="55"/>
      <c r="K373" s="57"/>
      <c r="Q373" s="48"/>
      <c r="R373" s="262"/>
      <c r="S373" s="262"/>
      <c r="T373" s="49"/>
      <c r="U373" s="49"/>
    </row>
    <row r="374" spans="1:21" ht="18" customHeight="1">
      <c r="A374" s="63">
        <f>A369+1</f>
        <v>22</v>
      </c>
      <c r="B374" s="275" t="s">
        <v>54</v>
      </c>
      <c r="C374" s="281" t="s">
        <v>104</v>
      </c>
      <c r="D374" s="32" t="s">
        <v>24</v>
      </c>
      <c r="E374" s="261">
        <f>4*1.2</f>
        <v>4.8</v>
      </c>
      <c r="F374" s="33"/>
      <c r="G374" s="34">
        <v>7.63</v>
      </c>
      <c r="H374" s="33"/>
      <c r="I374" s="35"/>
      <c r="J374" s="34">
        <v>1.43</v>
      </c>
      <c r="K374" s="36"/>
      <c r="L374" s="64"/>
      <c r="M374" s="65"/>
      <c r="N374" s="66"/>
      <c r="O374" s="67"/>
      <c r="P374" s="33"/>
      <c r="Q374" s="68"/>
      <c r="R374" s="42">
        <f>G375+J375</f>
        <v>18.219711</v>
      </c>
      <c r="S374" s="283">
        <f>(R374+R375)*U374</f>
        <v>0</v>
      </c>
      <c r="T374" s="285">
        <f>E374*S374</f>
        <v>0</v>
      </c>
      <c r="U374" s="285"/>
    </row>
    <row r="375" spans="1:21" ht="9.75" customHeight="1">
      <c r="A375" s="44"/>
      <c r="C375" s="282"/>
      <c r="E375" s="262"/>
      <c r="G375" s="34">
        <f>G374*$J$13/1000</f>
        <v>14.5114207</v>
      </c>
      <c r="I375" s="46"/>
      <c r="J375" s="34">
        <f>J374*$Q$13/1000</f>
        <v>3.7082903000000003</v>
      </c>
      <c r="K375" s="47"/>
      <c r="L375" s="265" t="s">
        <v>55</v>
      </c>
      <c r="M375" s="71" t="s">
        <v>24</v>
      </c>
      <c r="N375" s="72">
        <v>1.0149999999999999</v>
      </c>
      <c r="O375" s="72">
        <f>E374*N375</f>
        <v>4.871999999999999</v>
      </c>
      <c r="P375" s="73">
        <v>29</v>
      </c>
      <c r="Q375" s="74">
        <f>N375*P375*$N$11</f>
        <v>33.596069944500009</v>
      </c>
      <c r="R375" s="283">
        <f>SUM(Q375:Q379)</f>
        <v>56.063647565008033</v>
      </c>
      <c r="S375" s="284"/>
      <c r="T375" s="286"/>
      <c r="U375" s="286"/>
    </row>
    <row r="376" spans="1:21" ht="12" hidden="1">
      <c r="A376" s="44"/>
      <c r="C376" s="282"/>
      <c r="E376" s="262"/>
      <c r="I376" s="46"/>
      <c r="K376" s="47"/>
      <c r="L376" s="268" t="s">
        <v>56</v>
      </c>
      <c r="M376" s="106" t="s">
        <v>28</v>
      </c>
      <c r="N376" s="107">
        <v>2.64</v>
      </c>
      <c r="O376" s="107">
        <f>E374*N376</f>
        <v>12.672000000000001</v>
      </c>
      <c r="P376" s="108">
        <v>3.5</v>
      </c>
      <c r="Q376" s="109">
        <f>N376*P376*$N$11</f>
        <v>10.546209828000002</v>
      </c>
      <c r="R376" s="284"/>
      <c r="S376" s="284"/>
      <c r="T376" s="286"/>
      <c r="U376" s="286"/>
    </row>
    <row r="377" spans="1:21" ht="12" hidden="1">
      <c r="A377" s="44"/>
      <c r="C377" s="282"/>
      <c r="E377" s="262"/>
      <c r="I377" s="46"/>
      <c r="K377" s="47"/>
      <c r="L377" s="268" t="s">
        <v>43</v>
      </c>
      <c r="M377" s="106" t="s">
        <v>29</v>
      </c>
      <c r="N377" s="107">
        <v>3.2</v>
      </c>
      <c r="O377" s="107">
        <f>E374*N377</f>
        <v>15.36</v>
      </c>
      <c r="P377" s="164">
        <v>0.96699999999999997</v>
      </c>
      <c r="Q377" s="109">
        <f t="shared" ref="Q377:Q378" si="3">N377*P377*$N$11</f>
        <v>3.5318389276800009</v>
      </c>
      <c r="R377" s="284"/>
      <c r="S377" s="284"/>
      <c r="T377" s="286"/>
      <c r="U377" s="286"/>
    </row>
    <row r="378" spans="1:21" ht="12" hidden="1">
      <c r="A378" s="44"/>
      <c r="C378" s="282"/>
      <c r="E378" s="262"/>
      <c r="I378" s="46"/>
      <c r="K378" s="47"/>
      <c r="L378" s="268" t="s">
        <v>57</v>
      </c>
      <c r="M378" s="106" t="s">
        <v>24</v>
      </c>
      <c r="N378" s="107">
        <f>0.0049+0.0549</f>
        <v>5.9799999999999999E-2</v>
      </c>
      <c r="O378" s="107">
        <f>E374*N378</f>
        <v>0.28703999999999996</v>
      </c>
      <c r="P378" s="164">
        <v>122.917</v>
      </c>
      <c r="Q378" s="109">
        <f t="shared" si="3"/>
        <v>8.3895288648280211</v>
      </c>
      <c r="R378" s="284"/>
      <c r="S378" s="284"/>
      <c r="T378" s="286"/>
      <c r="U378" s="286"/>
    </row>
    <row r="379" spans="1:21" ht="12">
      <c r="A379" s="50"/>
      <c r="B379" s="51"/>
      <c r="C379" s="289"/>
      <c r="D379" s="53"/>
      <c r="E379" s="267"/>
      <c r="F379" s="54"/>
      <c r="G379" s="55"/>
      <c r="H379" s="54"/>
      <c r="I379" s="56"/>
      <c r="J379" s="55"/>
      <c r="K379" s="57"/>
      <c r="L379" s="147"/>
      <c r="M379" s="148"/>
      <c r="N379" s="149"/>
      <c r="O379" s="149"/>
      <c r="P379" s="150"/>
      <c r="Q379" s="151"/>
      <c r="R379" s="290"/>
      <c r="S379" s="290"/>
      <c r="T379" s="286"/>
      <c r="U379" s="286"/>
    </row>
    <row r="380" spans="1:21" ht="12">
      <c r="A380" s="31">
        <f>A374+1</f>
        <v>23</v>
      </c>
      <c r="B380" s="275" t="s">
        <v>44</v>
      </c>
      <c r="C380" s="281" t="s">
        <v>106</v>
      </c>
      <c r="D380" s="45" t="s">
        <v>26</v>
      </c>
      <c r="E380" s="262">
        <f>25.9/1000*4</f>
        <v>0.1036</v>
      </c>
      <c r="I380" s="46"/>
      <c r="K380" s="47"/>
      <c r="L380" s="64"/>
      <c r="M380" s="65"/>
      <c r="N380" s="66"/>
      <c r="O380" s="67"/>
      <c r="P380" s="33"/>
      <c r="Q380" s="68"/>
      <c r="R380" s="42">
        <f>G381+J381</f>
        <v>0</v>
      </c>
      <c r="S380" s="283">
        <f>(R380+R381)*U380</f>
        <v>0</v>
      </c>
      <c r="T380" s="285">
        <f>E380*S380</f>
        <v>0</v>
      </c>
      <c r="U380" s="285"/>
    </row>
    <row r="381" spans="1:21" ht="12">
      <c r="A381" s="44"/>
      <c r="B381" s="275"/>
      <c r="C381" s="282"/>
      <c r="E381" s="262"/>
      <c r="G381" s="34">
        <f>G380*$J$13/1000</f>
        <v>0</v>
      </c>
      <c r="I381" s="46"/>
      <c r="J381" s="34">
        <f>J380*$Q$13/1000</f>
        <v>0</v>
      </c>
      <c r="K381" s="47"/>
      <c r="L381" s="287" t="s">
        <v>106</v>
      </c>
      <c r="M381" s="71" t="s">
        <v>26</v>
      </c>
      <c r="N381" s="72">
        <v>1</v>
      </c>
      <c r="O381" s="72">
        <f>E380*N381</f>
        <v>0.1036</v>
      </c>
      <c r="P381" s="73">
        <v>315</v>
      </c>
      <c r="Q381" s="74">
        <f>N381*P381*$N$11</f>
        <v>359.52988050000005</v>
      </c>
      <c r="R381" s="262">
        <f>SUM(Q381:Q381)</f>
        <v>359.52988050000005</v>
      </c>
      <c r="S381" s="284"/>
      <c r="T381" s="286"/>
      <c r="U381" s="286"/>
    </row>
    <row r="382" spans="1:21" ht="12" hidden="1">
      <c r="A382" s="44"/>
      <c r="C382" s="282"/>
      <c r="E382" s="262"/>
      <c r="I382" s="46"/>
      <c r="K382" s="47"/>
      <c r="L382" s="288"/>
      <c r="M382" s="80"/>
      <c r="N382" s="81"/>
      <c r="O382" s="82"/>
      <c r="P382" s="83"/>
      <c r="Q382" s="84"/>
      <c r="R382" s="262"/>
      <c r="S382" s="262"/>
      <c r="T382" s="49"/>
      <c r="U382" s="49"/>
    </row>
    <row r="383" spans="1:21">
      <c r="A383" s="50"/>
      <c r="B383" s="51"/>
      <c r="C383" s="52"/>
      <c r="D383" s="53"/>
      <c r="E383" s="267"/>
      <c r="F383" s="54"/>
      <c r="G383" s="55"/>
      <c r="H383" s="54"/>
      <c r="I383" s="56"/>
      <c r="J383" s="55"/>
      <c r="K383" s="57"/>
      <c r="Q383" s="48"/>
      <c r="R383" s="262"/>
      <c r="S383" s="262"/>
      <c r="T383" s="49"/>
      <c r="U383" s="49"/>
    </row>
    <row r="384" spans="1:21" ht="12">
      <c r="A384" s="31">
        <f>A380+1</f>
        <v>24</v>
      </c>
      <c r="B384" s="275" t="s">
        <v>44</v>
      </c>
      <c r="C384" s="281" t="s">
        <v>107</v>
      </c>
      <c r="D384" s="45" t="s">
        <v>26</v>
      </c>
      <c r="E384" s="262">
        <f>18.2/1000*4</f>
        <v>7.2800000000000004E-2</v>
      </c>
      <c r="I384" s="46"/>
      <c r="K384" s="47"/>
      <c r="L384" s="64"/>
      <c r="M384" s="65"/>
      <c r="N384" s="66"/>
      <c r="O384" s="67"/>
      <c r="P384" s="33"/>
      <c r="Q384" s="68"/>
      <c r="R384" s="42">
        <f>G385+J385</f>
        <v>0</v>
      </c>
      <c r="S384" s="283">
        <f>(R384+R385)*U384</f>
        <v>0</v>
      </c>
      <c r="T384" s="285">
        <f>E384*S384</f>
        <v>0</v>
      </c>
      <c r="U384" s="285"/>
    </row>
    <row r="385" spans="1:21" ht="10.5" customHeight="1">
      <c r="A385" s="44"/>
      <c r="B385" s="275"/>
      <c r="C385" s="282"/>
      <c r="E385" s="262"/>
      <c r="G385" s="34">
        <f>G384*$J$13/1000</f>
        <v>0</v>
      </c>
      <c r="I385" s="46"/>
      <c r="J385" s="34">
        <f>J384*$Q$13/1000</f>
        <v>0</v>
      </c>
      <c r="K385" s="47"/>
      <c r="L385" s="287" t="s">
        <v>108</v>
      </c>
      <c r="M385" s="71" t="s">
        <v>26</v>
      </c>
      <c r="N385" s="72">
        <v>1</v>
      </c>
      <c r="O385" s="72">
        <f>E384*N385</f>
        <v>7.2800000000000004E-2</v>
      </c>
      <c r="P385" s="140">
        <v>291.66699999999997</v>
      </c>
      <c r="Q385" s="74">
        <f>N385*P385*$N$11</f>
        <v>332.89841795490003</v>
      </c>
      <c r="R385" s="262">
        <f>SUM(Q385:Q385)</f>
        <v>332.89841795490003</v>
      </c>
      <c r="S385" s="284"/>
      <c r="T385" s="286"/>
      <c r="U385" s="286"/>
    </row>
    <row r="386" spans="1:21" ht="12" hidden="1">
      <c r="A386" s="44"/>
      <c r="C386" s="282"/>
      <c r="E386" s="262"/>
      <c r="I386" s="46"/>
      <c r="K386" s="47"/>
      <c r="L386" s="288"/>
      <c r="M386" s="80"/>
      <c r="N386" s="81"/>
      <c r="O386" s="82"/>
      <c r="P386" s="83"/>
      <c r="Q386" s="84"/>
      <c r="R386" s="262"/>
      <c r="S386" s="262"/>
      <c r="T386" s="49"/>
      <c r="U386" s="49"/>
    </row>
    <row r="387" spans="1:21">
      <c r="A387" s="50"/>
      <c r="B387" s="51"/>
      <c r="C387" s="52"/>
      <c r="D387" s="53"/>
      <c r="E387" s="267"/>
      <c r="F387" s="54"/>
      <c r="G387" s="55"/>
      <c r="H387" s="54"/>
      <c r="I387" s="56"/>
      <c r="J387" s="55"/>
      <c r="K387" s="57"/>
      <c r="Q387" s="48"/>
      <c r="R387" s="262"/>
      <c r="S387" s="262"/>
      <c r="T387" s="49"/>
      <c r="U387" s="49"/>
    </row>
    <row r="388" spans="1:21" ht="12">
      <c r="A388" s="91"/>
      <c r="B388" s="92"/>
      <c r="C388" s="93" t="s">
        <v>27</v>
      </c>
      <c r="D388" s="94"/>
      <c r="E388" s="95"/>
      <c r="F388" s="96"/>
      <c r="G388" s="97"/>
      <c r="H388" s="96"/>
      <c r="I388" s="98"/>
      <c r="J388" s="97"/>
      <c r="K388" s="99"/>
      <c r="L388" s="100"/>
      <c r="M388" s="101"/>
      <c r="N388" s="102"/>
      <c r="O388" s="103"/>
      <c r="P388" s="96"/>
      <c r="Q388" s="97"/>
      <c r="R388" s="103"/>
      <c r="S388" s="103"/>
      <c r="T388" s="104">
        <f>SUM(T258:T387)</f>
        <v>0</v>
      </c>
      <c r="U388" s="373">
        <v>0.434</v>
      </c>
    </row>
    <row r="389" spans="1:21" ht="12">
      <c r="A389" s="91"/>
      <c r="B389" s="247"/>
      <c r="C389" s="256">
        <v>2</v>
      </c>
      <c r="D389" s="248"/>
      <c r="E389" s="249"/>
      <c r="F389" s="250"/>
      <c r="G389" s="251"/>
      <c r="H389" s="250"/>
      <c r="I389" s="252"/>
      <c r="J389" s="251"/>
      <c r="K389" s="253"/>
      <c r="L389" s="100"/>
      <c r="M389" s="101"/>
      <c r="N389" s="102"/>
      <c r="O389" s="103"/>
      <c r="P389" s="96"/>
      <c r="Q389" s="97"/>
      <c r="R389" s="103"/>
      <c r="S389" s="254"/>
      <c r="T389" s="255"/>
      <c r="U389" s="255"/>
    </row>
    <row r="390" spans="1:21" ht="12">
      <c r="A390" s="175">
        <f>A386+1</f>
        <v>1</v>
      </c>
      <c r="B390" s="176" t="s">
        <v>132</v>
      </c>
      <c r="C390" s="291" t="s">
        <v>133</v>
      </c>
      <c r="D390" s="177" t="s">
        <v>25</v>
      </c>
      <c r="E390" s="215">
        <f>6.6/100</f>
        <v>6.6000000000000003E-2</v>
      </c>
      <c r="F390" s="178"/>
      <c r="G390" s="179">
        <v>87.7</v>
      </c>
      <c r="H390" s="178"/>
      <c r="I390" s="180"/>
      <c r="J390" s="179">
        <v>9.8000000000000007</v>
      </c>
      <c r="K390" s="181"/>
      <c r="L390" s="182"/>
      <c r="M390" s="183"/>
      <c r="N390" s="184"/>
      <c r="O390" s="184"/>
      <c r="P390" s="185"/>
      <c r="Q390" s="186"/>
      <c r="R390" s="187">
        <f>G391+J391</f>
        <v>192.20921100000001</v>
      </c>
      <c r="S390" s="283">
        <f>(R390+R391)*U390</f>
        <v>0</v>
      </c>
      <c r="T390" s="273">
        <f>E390*S390</f>
        <v>0</v>
      </c>
      <c r="U390" s="276"/>
    </row>
    <row r="391" spans="1:21" ht="12">
      <c r="A391" s="190"/>
      <c r="B391" s="191"/>
      <c r="C391" s="292"/>
      <c r="D391" s="192"/>
      <c r="E391" s="272"/>
      <c r="F391" s="193"/>
      <c r="G391" s="179">
        <f>G390*$J$13/1000</f>
        <v>166.79575300000002</v>
      </c>
      <c r="H391" s="193"/>
      <c r="I391" s="194"/>
      <c r="J391" s="179">
        <f>J390*$Q$13/1000</f>
        <v>25.413458000000002</v>
      </c>
      <c r="K391" s="195"/>
      <c r="L391" s="196"/>
      <c r="M391" s="197"/>
      <c r="N391" s="198"/>
      <c r="O391" s="198"/>
      <c r="P391" s="193"/>
      <c r="Q391" s="199"/>
      <c r="R391" s="272"/>
      <c r="S391" s="284"/>
      <c r="T391" s="200"/>
      <c r="U391" s="200"/>
    </row>
    <row r="392" spans="1:21" ht="15">
      <c r="A392" s="201"/>
      <c r="B392" s="202"/>
      <c r="C392" s="203"/>
      <c r="D392" s="204"/>
      <c r="E392" s="205"/>
      <c r="F392" s="206"/>
      <c r="G392" s="207"/>
      <c r="H392" s="206"/>
      <c r="I392" s="208"/>
      <c r="J392" s="207"/>
      <c r="K392" s="209"/>
      <c r="L392" s="210"/>
      <c r="M392" s="211"/>
      <c r="N392" s="212"/>
      <c r="O392" s="212"/>
      <c r="P392" s="206"/>
      <c r="Q392" s="213"/>
      <c r="R392" s="205"/>
      <c r="S392" s="205"/>
      <c r="T392" s="214"/>
      <c r="U392" s="214"/>
    </row>
    <row r="393" spans="1:21" ht="12">
      <c r="A393" s="217">
        <f>A390+1</f>
        <v>2</v>
      </c>
      <c r="B393" s="176" t="s">
        <v>134</v>
      </c>
      <c r="C393" s="291" t="s">
        <v>137</v>
      </c>
      <c r="D393" s="177" t="s">
        <v>28</v>
      </c>
      <c r="E393" s="271">
        <v>3.3</v>
      </c>
      <c r="F393" s="178"/>
      <c r="G393" s="179">
        <v>0</v>
      </c>
      <c r="H393" s="178"/>
      <c r="I393" s="180"/>
      <c r="J393" s="179">
        <v>0</v>
      </c>
      <c r="K393" s="181"/>
      <c r="L393" s="218"/>
      <c r="M393" s="219"/>
      <c r="N393" s="220"/>
      <c r="O393" s="221"/>
      <c r="P393" s="178"/>
      <c r="Q393" s="222"/>
      <c r="R393" s="187">
        <f>G394+J394</f>
        <v>0</v>
      </c>
      <c r="S393" s="283">
        <f>(R393+R394)*U393</f>
        <v>0</v>
      </c>
      <c r="T393" s="293">
        <f>E393*S393</f>
        <v>0</v>
      </c>
      <c r="U393" s="293"/>
    </row>
    <row r="394" spans="1:21" ht="12">
      <c r="A394" s="190"/>
      <c r="B394" s="189"/>
      <c r="C394" s="292"/>
      <c r="D394" s="192"/>
      <c r="E394" s="272"/>
      <c r="F394" s="193"/>
      <c r="G394" s="179">
        <f>G393*$J$13/1000</f>
        <v>0</v>
      </c>
      <c r="H394" s="193"/>
      <c r="I394" s="194"/>
      <c r="J394" s="179">
        <f>J393*$Q$13/1000</f>
        <v>0</v>
      </c>
      <c r="K394" s="195"/>
      <c r="L394" s="295" t="s">
        <v>135</v>
      </c>
      <c r="M394" s="225" t="s">
        <v>28</v>
      </c>
      <c r="N394" s="226">
        <v>1</v>
      </c>
      <c r="O394" s="226">
        <f>E393*N394</f>
        <v>3.3</v>
      </c>
      <c r="P394" s="227">
        <v>24.722000000000001</v>
      </c>
      <c r="Q394" s="228">
        <f>N394*P394*$N$11</f>
        <v>28.216818113400006</v>
      </c>
      <c r="R394" s="272">
        <f>SUM(Q394:Q394)</f>
        <v>28.216818113400006</v>
      </c>
      <c r="S394" s="284"/>
      <c r="T394" s="294"/>
      <c r="U394" s="294"/>
    </row>
    <row r="395" spans="1:21" ht="12" hidden="1">
      <c r="A395" s="190"/>
      <c r="B395" s="189"/>
      <c r="C395" s="292"/>
      <c r="D395" s="192"/>
      <c r="E395" s="272"/>
      <c r="F395" s="193"/>
      <c r="G395" s="216"/>
      <c r="H395" s="193"/>
      <c r="I395" s="194"/>
      <c r="J395" s="216"/>
      <c r="K395" s="195"/>
      <c r="L395" s="296"/>
      <c r="M395" s="229"/>
      <c r="N395" s="230"/>
      <c r="O395" s="231"/>
      <c r="P395" s="232"/>
      <c r="Q395" s="233"/>
      <c r="R395" s="272"/>
      <c r="S395" s="272"/>
      <c r="T395" s="200"/>
      <c r="U395" s="200"/>
    </row>
    <row r="396" spans="1:21" ht="12" hidden="1">
      <c r="A396" s="190"/>
      <c r="B396" s="189"/>
      <c r="C396" s="292"/>
      <c r="D396" s="192"/>
      <c r="E396" s="272"/>
      <c r="F396" s="193"/>
      <c r="G396" s="216"/>
      <c r="H396" s="193"/>
      <c r="I396" s="194"/>
      <c r="J396" s="216"/>
      <c r="K396" s="195"/>
      <c r="L396" s="297"/>
      <c r="M396" s="234"/>
      <c r="N396" s="235"/>
      <c r="O396" s="236"/>
      <c r="P396" s="237"/>
      <c r="Q396" s="238"/>
      <c r="R396" s="272"/>
      <c r="S396" s="272"/>
      <c r="T396" s="200"/>
      <c r="U396" s="200"/>
    </row>
    <row r="397" spans="1:21">
      <c r="A397" s="201"/>
      <c r="B397" s="202"/>
      <c r="C397" s="239"/>
      <c r="D397" s="204"/>
      <c r="E397" s="205"/>
      <c r="F397" s="206"/>
      <c r="G397" s="207"/>
      <c r="H397" s="206"/>
      <c r="I397" s="208"/>
      <c r="J397" s="207"/>
      <c r="K397" s="209"/>
      <c r="L397" s="240"/>
      <c r="M397" s="211"/>
      <c r="N397" s="212"/>
      <c r="O397" s="241"/>
      <c r="P397" s="206"/>
      <c r="Q397" s="213"/>
      <c r="R397" s="205"/>
      <c r="S397" s="205"/>
      <c r="T397" s="214"/>
      <c r="U397" s="214"/>
    </row>
    <row r="398" spans="1:21" ht="12">
      <c r="A398" s="217">
        <f>A393+1</f>
        <v>3</v>
      </c>
      <c r="B398" s="176" t="s">
        <v>134</v>
      </c>
      <c r="C398" s="291" t="s">
        <v>138</v>
      </c>
      <c r="D398" s="177" t="s">
        <v>28</v>
      </c>
      <c r="E398" s="271">
        <v>3.3</v>
      </c>
      <c r="F398" s="178"/>
      <c r="G398" s="179">
        <v>0</v>
      </c>
      <c r="H398" s="178"/>
      <c r="I398" s="180"/>
      <c r="J398" s="179">
        <v>0</v>
      </c>
      <c r="K398" s="181"/>
      <c r="L398" s="218"/>
      <c r="M398" s="219"/>
      <c r="N398" s="220"/>
      <c r="O398" s="221"/>
      <c r="P398" s="178"/>
      <c r="Q398" s="222"/>
      <c r="R398" s="187">
        <f>G399+J399</f>
        <v>0</v>
      </c>
      <c r="S398" s="283">
        <f>(R398+R399)*U398</f>
        <v>0</v>
      </c>
      <c r="T398" s="293">
        <f>E398*S398</f>
        <v>0</v>
      </c>
      <c r="U398" s="293"/>
    </row>
    <row r="399" spans="1:21" ht="12">
      <c r="A399" s="190"/>
      <c r="B399" s="189"/>
      <c r="C399" s="298"/>
      <c r="D399" s="192"/>
      <c r="E399" s="272"/>
      <c r="F399" s="193"/>
      <c r="G399" s="179">
        <f>G398*$J$13/1000</f>
        <v>0</v>
      </c>
      <c r="H399" s="193"/>
      <c r="I399" s="194"/>
      <c r="J399" s="179">
        <f>J398*$Q$13/1000</f>
        <v>0</v>
      </c>
      <c r="K399" s="195"/>
      <c r="L399" s="295" t="s">
        <v>136</v>
      </c>
      <c r="M399" s="225" t="s">
        <v>28</v>
      </c>
      <c r="N399" s="226">
        <v>1</v>
      </c>
      <c r="O399" s="226">
        <f>E398*N399</f>
        <v>3.3</v>
      </c>
      <c r="P399" s="227">
        <v>16.25</v>
      </c>
      <c r="Q399" s="228">
        <f>N399*P399*$N$11</f>
        <v>18.547176375000003</v>
      </c>
      <c r="R399" s="272">
        <f>SUM(Q399:Q399)</f>
        <v>18.547176375000003</v>
      </c>
      <c r="S399" s="284"/>
      <c r="T399" s="294"/>
      <c r="U399" s="294"/>
    </row>
    <row r="400" spans="1:21" ht="1.5" customHeight="1">
      <c r="A400" s="190"/>
      <c r="B400" s="189"/>
      <c r="C400" s="298"/>
      <c r="D400" s="192"/>
      <c r="E400" s="272"/>
      <c r="F400" s="193"/>
      <c r="G400" s="216"/>
      <c r="H400" s="193"/>
      <c r="I400" s="194"/>
      <c r="J400" s="216"/>
      <c r="K400" s="195"/>
      <c r="L400" s="296"/>
      <c r="M400" s="229"/>
      <c r="N400" s="230"/>
      <c r="O400" s="231"/>
      <c r="P400" s="232"/>
      <c r="Q400" s="233"/>
      <c r="R400" s="272"/>
      <c r="S400" s="272"/>
      <c r="T400" s="200"/>
      <c r="U400" s="200"/>
    </row>
    <row r="401" spans="1:21" ht="12" hidden="1">
      <c r="A401" s="190"/>
      <c r="B401" s="189"/>
      <c r="C401" s="298"/>
      <c r="D401" s="192"/>
      <c r="E401" s="272"/>
      <c r="F401" s="193"/>
      <c r="G401" s="216"/>
      <c r="H401" s="193"/>
      <c r="I401" s="194"/>
      <c r="J401" s="216"/>
      <c r="K401" s="195"/>
      <c r="L401" s="297"/>
      <c r="M401" s="234"/>
      <c r="N401" s="235"/>
      <c r="O401" s="236"/>
      <c r="P401" s="237"/>
      <c r="Q401" s="238"/>
      <c r="R401" s="272"/>
      <c r="S401" s="272"/>
      <c r="T401" s="200"/>
      <c r="U401" s="200"/>
    </row>
    <row r="402" spans="1:21">
      <c r="A402" s="201"/>
      <c r="B402" s="202"/>
      <c r="C402" s="239"/>
      <c r="D402" s="204"/>
      <c r="E402" s="205"/>
      <c r="F402" s="206"/>
      <c r="G402" s="207"/>
      <c r="H402" s="206"/>
      <c r="I402" s="208"/>
      <c r="J402" s="207"/>
      <c r="K402" s="209"/>
      <c r="L402" s="240"/>
      <c r="M402" s="211"/>
      <c r="N402" s="212"/>
      <c r="O402" s="241"/>
      <c r="P402" s="206"/>
      <c r="Q402" s="213"/>
      <c r="R402" s="205"/>
      <c r="S402" s="205"/>
      <c r="T402" s="214"/>
      <c r="U402" s="214"/>
    </row>
    <row r="403" spans="1:21" ht="12">
      <c r="A403" s="63">
        <f>A398+1</f>
        <v>4</v>
      </c>
      <c r="B403" s="366" t="s">
        <v>152</v>
      </c>
      <c r="C403" s="281" t="s">
        <v>145</v>
      </c>
      <c r="D403" s="32" t="s">
        <v>25</v>
      </c>
      <c r="E403" s="258">
        <f>7.14/100</f>
        <v>7.1399999999999991E-2</v>
      </c>
      <c r="F403" s="33"/>
      <c r="G403" s="34">
        <v>150</v>
      </c>
      <c r="H403" s="33"/>
      <c r="I403" s="35"/>
      <c r="J403" s="34">
        <v>27.9</v>
      </c>
      <c r="K403" s="36"/>
      <c r="L403" s="64"/>
      <c r="M403" s="65"/>
      <c r="N403" s="66"/>
      <c r="O403" s="67"/>
      <c r="P403" s="33"/>
      <c r="Q403" s="68"/>
      <c r="R403" s="42">
        <f>G404+J404</f>
        <v>357.63405899999998</v>
      </c>
      <c r="S403" s="283">
        <f>(R403+R404)*U403</f>
        <v>0</v>
      </c>
      <c r="T403" s="285">
        <f>E403*S403</f>
        <v>0</v>
      </c>
      <c r="U403" s="285"/>
    </row>
    <row r="404" spans="1:21" ht="12" customHeight="1">
      <c r="A404" s="44"/>
      <c r="B404" s="367"/>
      <c r="C404" s="368"/>
      <c r="E404" s="262"/>
      <c r="G404" s="34">
        <f>G403*$J$13/1000</f>
        <v>285.2835</v>
      </c>
      <c r="I404" s="46"/>
      <c r="J404" s="34">
        <f>J403*$Q$13/1000</f>
        <v>72.35055899999999</v>
      </c>
      <c r="K404" s="47"/>
      <c r="L404" s="242" t="s">
        <v>153</v>
      </c>
      <c r="M404" s="243" t="s">
        <v>26</v>
      </c>
      <c r="N404" s="244">
        <v>5.28</v>
      </c>
      <c r="O404" s="244">
        <f>E403*N404</f>
        <v>0.37699199999999999</v>
      </c>
      <c r="P404" s="245">
        <v>19.309999999999999</v>
      </c>
      <c r="Q404" s="246">
        <f>N404*P404*$N$11</f>
        <v>116.36989244496003</v>
      </c>
      <c r="R404" s="262">
        <f>SUM(Q404:Q404)</f>
        <v>116.36989244496003</v>
      </c>
      <c r="S404" s="284"/>
      <c r="T404" s="369"/>
      <c r="U404" s="369"/>
    </row>
    <row r="405" spans="1:21" ht="0.75" customHeight="1">
      <c r="A405" s="44"/>
      <c r="B405" s="370"/>
      <c r="C405" s="368"/>
      <c r="E405" s="262"/>
      <c r="I405" s="46"/>
      <c r="K405" s="47"/>
      <c r="Q405" s="48"/>
      <c r="R405" s="262"/>
      <c r="S405" s="262"/>
      <c r="T405" s="49"/>
      <c r="U405" s="49"/>
    </row>
    <row r="406" spans="1:21" ht="12" hidden="1">
      <c r="A406" s="44"/>
      <c r="B406" s="370"/>
      <c r="C406" s="368"/>
      <c r="E406" s="262"/>
      <c r="I406" s="46"/>
      <c r="K406" s="47"/>
      <c r="Q406" s="48"/>
      <c r="R406" s="262"/>
      <c r="S406" s="262"/>
      <c r="T406" s="49"/>
      <c r="U406" s="49"/>
    </row>
    <row r="407" spans="1:21">
      <c r="A407" s="50"/>
      <c r="B407" s="51"/>
      <c r="C407" s="52"/>
      <c r="D407" s="53"/>
      <c r="E407" s="267"/>
      <c r="F407" s="54"/>
      <c r="G407" s="55"/>
      <c r="H407" s="54"/>
      <c r="I407" s="56"/>
      <c r="J407" s="55"/>
      <c r="K407" s="57"/>
      <c r="L407" s="58"/>
      <c r="M407" s="59"/>
      <c r="N407" s="60"/>
      <c r="O407" s="85"/>
      <c r="P407" s="54"/>
      <c r="Q407" s="61"/>
      <c r="R407" s="267"/>
      <c r="S407" s="267"/>
      <c r="T407" s="62"/>
      <c r="U407" s="62"/>
    </row>
    <row r="408" spans="1:21" ht="24" customHeight="1">
      <c r="A408" s="217">
        <f>A403+1</f>
        <v>5</v>
      </c>
      <c r="B408" s="176" t="s">
        <v>36</v>
      </c>
      <c r="C408" s="291" t="s">
        <v>142</v>
      </c>
      <c r="D408" s="177" t="s">
        <v>28</v>
      </c>
      <c r="E408" s="271">
        <f>1.76</f>
        <v>1.76</v>
      </c>
      <c r="F408" s="178"/>
      <c r="G408" s="179">
        <f>45.8/100</f>
        <v>0.45799999999999996</v>
      </c>
      <c r="H408" s="178"/>
      <c r="I408" s="180"/>
      <c r="J408" s="179">
        <f>0.41/100</f>
        <v>4.0999999999999995E-3</v>
      </c>
      <c r="K408" s="181"/>
      <c r="L408" s="218"/>
      <c r="M408" s="219"/>
      <c r="N408" s="220"/>
      <c r="O408" s="221"/>
      <c r="P408" s="178"/>
      <c r="Q408" s="222"/>
      <c r="R408" s="187">
        <f>G409+J409</f>
        <v>0.88169778099999996</v>
      </c>
      <c r="S408" s="283">
        <f>(R408+R409)*U408</f>
        <v>0</v>
      </c>
      <c r="T408" s="293">
        <f>E408*S408</f>
        <v>0</v>
      </c>
      <c r="U408" s="293"/>
    </row>
    <row r="409" spans="1:21" ht="9.75" customHeight="1">
      <c r="A409" s="190"/>
      <c r="B409" s="189"/>
      <c r="C409" s="298"/>
      <c r="D409" s="192"/>
      <c r="E409" s="272"/>
      <c r="F409" s="193"/>
      <c r="G409" s="179">
        <f>G408*$J$13/1000</f>
        <v>0.87106561999999998</v>
      </c>
      <c r="H409" s="193"/>
      <c r="I409" s="194"/>
      <c r="J409" s="179">
        <f>J408*$Q$13/1000</f>
        <v>1.0632160999999998E-2</v>
      </c>
      <c r="K409" s="195"/>
      <c r="L409" s="363" t="s">
        <v>143</v>
      </c>
      <c r="M409" s="225" t="s">
        <v>28</v>
      </c>
      <c r="N409" s="226">
        <v>1.05</v>
      </c>
      <c r="O409" s="226">
        <f>E408*N409</f>
        <v>1.8480000000000001</v>
      </c>
      <c r="P409" s="227">
        <v>2.1059999999999999</v>
      </c>
      <c r="Q409" s="228">
        <f>N409*P409*$N$11</f>
        <v>2.5238997611100005</v>
      </c>
      <c r="R409" s="272">
        <f>SUM(Q409:Q409)</f>
        <v>2.5238997611100005</v>
      </c>
      <c r="S409" s="284"/>
      <c r="T409" s="294"/>
      <c r="U409" s="294"/>
    </row>
    <row r="410" spans="1:21" ht="12" hidden="1">
      <c r="A410" s="190"/>
      <c r="B410" s="189"/>
      <c r="C410" s="298"/>
      <c r="D410" s="192"/>
      <c r="E410" s="272"/>
      <c r="F410" s="193"/>
      <c r="G410" s="216"/>
      <c r="H410" s="193"/>
      <c r="I410" s="194"/>
      <c r="J410" s="216"/>
      <c r="K410" s="195"/>
      <c r="L410" s="364"/>
      <c r="M410" s="229"/>
      <c r="N410" s="230"/>
      <c r="O410" s="231"/>
      <c r="P410" s="232"/>
      <c r="Q410" s="233"/>
      <c r="R410" s="272"/>
      <c r="S410" s="272"/>
      <c r="T410" s="200"/>
      <c r="U410" s="200"/>
    </row>
    <row r="411" spans="1:21" ht="12" hidden="1">
      <c r="A411" s="190"/>
      <c r="B411" s="189"/>
      <c r="C411" s="298"/>
      <c r="D411" s="192"/>
      <c r="E411" s="272"/>
      <c r="F411" s="193"/>
      <c r="G411" s="216"/>
      <c r="H411" s="193"/>
      <c r="I411" s="194"/>
      <c r="J411" s="216"/>
      <c r="K411" s="195"/>
      <c r="L411" s="365"/>
      <c r="M411" s="234"/>
      <c r="N411" s="235"/>
      <c r="O411" s="236"/>
      <c r="P411" s="237"/>
      <c r="Q411" s="238"/>
      <c r="R411" s="272"/>
      <c r="S411" s="272"/>
      <c r="T411" s="200"/>
      <c r="U411" s="200"/>
    </row>
    <row r="412" spans="1:21">
      <c r="A412" s="201"/>
      <c r="B412" s="202"/>
      <c r="C412" s="239"/>
      <c r="D412" s="204"/>
      <c r="E412" s="205"/>
      <c r="F412" s="206"/>
      <c r="G412" s="207"/>
      <c r="H412" s="206"/>
      <c r="I412" s="208"/>
      <c r="J412" s="207"/>
      <c r="K412" s="209"/>
      <c r="L412" s="240"/>
      <c r="M412" s="211"/>
      <c r="N412" s="212"/>
      <c r="O412" s="241"/>
      <c r="P412" s="206"/>
      <c r="Q412" s="213"/>
      <c r="R412" s="205"/>
      <c r="S412" s="205"/>
      <c r="T412" s="214"/>
      <c r="U412" s="214"/>
    </row>
    <row r="413" spans="1:21" ht="12">
      <c r="A413" s="217">
        <f>A408+1</f>
        <v>6</v>
      </c>
      <c r="B413" s="176" t="s">
        <v>134</v>
      </c>
      <c r="C413" s="291" t="s">
        <v>140</v>
      </c>
      <c r="D413" s="177" t="s">
        <v>139</v>
      </c>
      <c r="E413" s="271">
        <v>5.8</v>
      </c>
      <c r="F413" s="178"/>
      <c r="G413" s="179">
        <v>0</v>
      </c>
      <c r="H413" s="178"/>
      <c r="I413" s="180"/>
      <c r="J413" s="179">
        <v>0</v>
      </c>
      <c r="K413" s="181"/>
      <c r="L413" s="218"/>
      <c r="M413" s="219"/>
      <c r="N413" s="220"/>
      <c r="O413" s="221"/>
      <c r="P413" s="178"/>
      <c r="Q413" s="222"/>
      <c r="R413" s="187">
        <f>G414+J414</f>
        <v>0</v>
      </c>
      <c r="S413" s="283">
        <f>(R413+R414)*U413</f>
        <v>0</v>
      </c>
      <c r="T413" s="293">
        <f>E413*S413</f>
        <v>0</v>
      </c>
      <c r="U413" s="293"/>
    </row>
    <row r="414" spans="1:21" ht="12">
      <c r="A414" s="190"/>
      <c r="B414" s="189"/>
      <c r="C414" s="298"/>
      <c r="D414" s="192"/>
      <c r="E414" s="272"/>
      <c r="F414" s="193"/>
      <c r="G414" s="179">
        <f>G413*$J$13/1000</f>
        <v>0</v>
      </c>
      <c r="H414" s="193"/>
      <c r="I414" s="194"/>
      <c r="J414" s="179">
        <f>J413*$Q$13/1000</f>
        <v>0</v>
      </c>
      <c r="K414" s="195"/>
      <c r="L414" s="360" t="s">
        <v>141</v>
      </c>
      <c r="M414" s="225" t="s">
        <v>28</v>
      </c>
      <c r="N414" s="226">
        <v>1</v>
      </c>
      <c r="O414" s="226">
        <f>E413*N414</f>
        <v>5.8</v>
      </c>
      <c r="P414" s="227">
        <v>3.0419999999999998</v>
      </c>
      <c r="Q414" s="228">
        <f>N414*P414*$N$11</f>
        <v>3.4720314174000007</v>
      </c>
      <c r="R414" s="272">
        <f>SUM(Q414:Q414)</f>
        <v>3.4720314174000007</v>
      </c>
      <c r="S414" s="284"/>
      <c r="T414" s="294"/>
      <c r="U414" s="294"/>
    </row>
    <row r="415" spans="1:21" ht="12" hidden="1">
      <c r="A415" s="190"/>
      <c r="B415" s="189"/>
      <c r="C415" s="298"/>
      <c r="D415" s="192"/>
      <c r="E415" s="272"/>
      <c r="F415" s="193"/>
      <c r="G415" s="216"/>
      <c r="H415" s="193"/>
      <c r="I415" s="194"/>
      <c r="J415" s="216"/>
      <c r="K415" s="195"/>
      <c r="L415" s="361"/>
      <c r="M415" s="229"/>
      <c r="N415" s="230"/>
      <c r="O415" s="231"/>
      <c r="P415" s="232"/>
      <c r="Q415" s="233"/>
      <c r="R415" s="272"/>
      <c r="S415" s="272"/>
      <c r="T415" s="200"/>
      <c r="U415" s="200"/>
    </row>
    <row r="416" spans="1:21" ht="12" hidden="1">
      <c r="A416" s="190"/>
      <c r="B416" s="189"/>
      <c r="C416" s="298"/>
      <c r="D416" s="192"/>
      <c r="E416" s="272"/>
      <c r="F416" s="193"/>
      <c r="G416" s="216"/>
      <c r="H416" s="193"/>
      <c r="I416" s="194"/>
      <c r="J416" s="216"/>
      <c r="K416" s="195"/>
      <c r="L416" s="362"/>
      <c r="M416" s="234"/>
      <c r="N416" s="235"/>
      <c r="O416" s="236"/>
      <c r="P416" s="237"/>
      <c r="Q416" s="238"/>
      <c r="R416" s="272"/>
      <c r="S416" s="272"/>
      <c r="T416" s="200"/>
      <c r="U416" s="200"/>
    </row>
    <row r="417" spans="1:21">
      <c r="A417" s="201"/>
      <c r="B417" s="202"/>
      <c r="C417" s="239"/>
      <c r="D417" s="204"/>
      <c r="E417" s="205"/>
      <c r="F417" s="206"/>
      <c r="G417" s="207"/>
      <c r="H417" s="206"/>
      <c r="I417" s="208"/>
      <c r="J417" s="207"/>
      <c r="K417" s="209"/>
      <c r="L417" s="240"/>
      <c r="M417" s="211"/>
      <c r="N417" s="212"/>
      <c r="O417" s="241"/>
      <c r="P417" s="206"/>
      <c r="Q417" s="213"/>
      <c r="R417" s="205"/>
      <c r="S417" s="205"/>
      <c r="T417" s="214"/>
      <c r="U417" s="214"/>
    </row>
    <row r="418" spans="1:21" ht="12">
      <c r="A418" s="217">
        <f>A413+1</f>
        <v>7</v>
      </c>
      <c r="B418" s="176" t="s">
        <v>146</v>
      </c>
      <c r="C418" s="291" t="s">
        <v>148</v>
      </c>
      <c r="D418" s="177" t="s">
        <v>25</v>
      </c>
      <c r="E418" s="257">
        <f>5.88/100</f>
        <v>5.8799999999999998E-2</v>
      </c>
      <c r="F418" s="178"/>
      <c r="G418" s="179">
        <v>45.7</v>
      </c>
      <c r="H418" s="178"/>
      <c r="I418" s="180"/>
      <c r="J418" s="179">
        <v>9.8000000000000007</v>
      </c>
      <c r="K418" s="181"/>
      <c r="L418" s="182"/>
      <c r="M418" s="183"/>
      <c r="N418" s="184"/>
      <c r="O418" s="184"/>
      <c r="P418" s="185"/>
      <c r="Q418" s="186"/>
      <c r="R418" s="187">
        <f>G419+J419</f>
        <v>112.32983100000001</v>
      </c>
      <c r="S418" s="283">
        <f>(R418+R419)*U418</f>
        <v>0</v>
      </c>
      <c r="T418" s="273">
        <f>E418*S418</f>
        <v>0</v>
      </c>
      <c r="U418" s="276"/>
    </row>
    <row r="419" spans="1:21" ht="12">
      <c r="A419" s="190"/>
      <c r="B419" s="191" t="s">
        <v>147</v>
      </c>
      <c r="C419" s="298"/>
      <c r="D419" s="192"/>
      <c r="E419" s="272"/>
      <c r="F419" s="193"/>
      <c r="G419" s="179">
        <f>G418*$J$13/1000</f>
        <v>86.916373000000007</v>
      </c>
      <c r="H419" s="193"/>
      <c r="I419" s="194"/>
      <c r="J419" s="179">
        <f>J418*$Q$13/1000</f>
        <v>25.413458000000002</v>
      </c>
      <c r="K419" s="195"/>
      <c r="L419" s="196"/>
      <c r="M419" s="197"/>
      <c r="N419" s="198"/>
      <c r="O419" s="198"/>
      <c r="P419" s="193"/>
      <c r="Q419" s="199"/>
      <c r="R419" s="272"/>
      <c r="S419" s="284"/>
      <c r="T419" s="200"/>
      <c r="U419" s="200"/>
    </row>
    <row r="420" spans="1:21" ht="15">
      <c r="A420" s="201"/>
      <c r="B420" s="202"/>
      <c r="C420" s="203"/>
      <c r="D420" s="204"/>
      <c r="E420" s="205"/>
      <c r="F420" s="206"/>
      <c r="G420" s="207"/>
      <c r="H420" s="206"/>
      <c r="I420" s="208"/>
      <c r="J420" s="207"/>
      <c r="K420" s="209"/>
      <c r="L420" s="210"/>
      <c r="M420" s="211"/>
      <c r="N420" s="212"/>
      <c r="O420" s="212"/>
      <c r="P420" s="206"/>
      <c r="Q420" s="213"/>
      <c r="R420" s="205"/>
      <c r="S420" s="205"/>
      <c r="T420" s="214"/>
      <c r="U420" s="214"/>
    </row>
    <row r="421" spans="1:21" ht="12">
      <c r="A421" s="217">
        <f>A418+1</f>
        <v>8</v>
      </c>
      <c r="B421" s="176" t="s">
        <v>134</v>
      </c>
      <c r="C421" s="291" t="s">
        <v>149</v>
      </c>
      <c r="D421" s="177" t="s">
        <v>28</v>
      </c>
      <c r="E421" s="271">
        <v>5.88</v>
      </c>
      <c r="F421" s="178"/>
      <c r="G421" s="179">
        <v>0</v>
      </c>
      <c r="H421" s="178"/>
      <c r="I421" s="180"/>
      <c r="J421" s="179">
        <v>0</v>
      </c>
      <c r="K421" s="181"/>
      <c r="L421" s="218"/>
      <c r="M421" s="219"/>
      <c r="N421" s="220"/>
      <c r="O421" s="221"/>
      <c r="P421" s="178"/>
      <c r="Q421" s="222"/>
      <c r="R421" s="187">
        <f>G422+J422</f>
        <v>0</v>
      </c>
      <c r="S421" s="283">
        <f>(R421+R422)*U421</f>
        <v>0</v>
      </c>
      <c r="T421" s="293">
        <f>E421*S421</f>
        <v>0</v>
      </c>
      <c r="U421" s="293"/>
    </row>
    <row r="422" spans="1:21" ht="12">
      <c r="A422" s="190"/>
      <c r="B422" s="189"/>
      <c r="C422" s="298"/>
      <c r="D422" s="192"/>
      <c r="E422" s="272"/>
      <c r="F422" s="193"/>
      <c r="G422" s="179">
        <f>G421*$J$13/1000</f>
        <v>0</v>
      </c>
      <c r="H422" s="193"/>
      <c r="I422" s="194"/>
      <c r="J422" s="179">
        <f>J421*$Q$13/1000</f>
        <v>0</v>
      </c>
      <c r="K422" s="195"/>
      <c r="L422" s="295" t="s">
        <v>150</v>
      </c>
      <c r="M422" s="225" t="s">
        <v>28</v>
      </c>
      <c r="N422" s="226">
        <v>1</v>
      </c>
      <c r="O422" s="226">
        <f>E421*N422</f>
        <v>5.88</v>
      </c>
      <c r="P422" s="227">
        <v>31.667000000000002</v>
      </c>
      <c r="Q422" s="228">
        <f>N422*P422*$N$11</f>
        <v>36.143595954900007</v>
      </c>
      <c r="R422" s="272">
        <f>SUM(Q422:Q422)</f>
        <v>36.143595954900007</v>
      </c>
      <c r="S422" s="284"/>
      <c r="T422" s="294"/>
      <c r="U422" s="294"/>
    </row>
    <row r="423" spans="1:21" ht="2.25" customHeight="1">
      <c r="A423" s="190"/>
      <c r="B423" s="189"/>
      <c r="C423" s="298"/>
      <c r="D423" s="192"/>
      <c r="E423" s="272"/>
      <c r="F423" s="193"/>
      <c r="G423" s="216"/>
      <c r="H423" s="193"/>
      <c r="I423" s="194"/>
      <c r="J423" s="216"/>
      <c r="K423" s="195"/>
      <c r="L423" s="296"/>
      <c r="M423" s="229"/>
      <c r="N423" s="230"/>
      <c r="O423" s="231"/>
      <c r="P423" s="232"/>
      <c r="Q423" s="233"/>
      <c r="R423" s="272"/>
      <c r="S423" s="272"/>
      <c r="T423" s="200"/>
      <c r="U423" s="200"/>
    </row>
    <row r="424" spans="1:21" ht="12" hidden="1">
      <c r="A424" s="190"/>
      <c r="B424" s="189"/>
      <c r="C424" s="298"/>
      <c r="D424" s="192"/>
      <c r="E424" s="272"/>
      <c r="F424" s="193"/>
      <c r="G424" s="216"/>
      <c r="H424" s="193"/>
      <c r="I424" s="194"/>
      <c r="J424" s="216"/>
      <c r="K424" s="195"/>
      <c r="L424" s="297"/>
      <c r="M424" s="234"/>
      <c r="N424" s="235"/>
      <c r="O424" s="236"/>
      <c r="P424" s="237"/>
      <c r="Q424" s="238"/>
      <c r="R424" s="272"/>
      <c r="S424" s="272"/>
      <c r="T424" s="200"/>
      <c r="U424" s="200"/>
    </row>
    <row r="425" spans="1:21">
      <c r="A425" s="201"/>
      <c r="B425" s="202"/>
      <c r="C425" s="239"/>
      <c r="D425" s="204"/>
      <c r="E425" s="205"/>
      <c r="F425" s="206"/>
      <c r="G425" s="207"/>
      <c r="H425" s="206"/>
      <c r="I425" s="208"/>
      <c r="J425" s="207"/>
      <c r="K425" s="209"/>
      <c r="L425" s="240"/>
      <c r="M425" s="211"/>
      <c r="N425" s="212"/>
      <c r="O425" s="241"/>
      <c r="P425" s="206"/>
      <c r="Q425" s="213"/>
      <c r="R425" s="205"/>
      <c r="S425" s="205"/>
      <c r="T425" s="214"/>
      <c r="U425" s="214"/>
    </row>
    <row r="426" spans="1:21" ht="12">
      <c r="A426" s="63">
        <f>A421+1</f>
        <v>9</v>
      </c>
      <c r="B426" s="366" t="s">
        <v>152</v>
      </c>
      <c r="C426" s="281" t="s">
        <v>151</v>
      </c>
      <c r="D426" s="32" t="s">
        <v>25</v>
      </c>
      <c r="E426" s="258">
        <f>3.92/100</f>
        <v>3.9199999999999999E-2</v>
      </c>
      <c r="F426" s="33"/>
      <c r="G426" s="34">
        <v>150</v>
      </c>
      <c r="H426" s="33"/>
      <c r="I426" s="35"/>
      <c r="J426" s="34">
        <v>27.9</v>
      </c>
      <c r="K426" s="36"/>
      <c r="L426" s="64"/>
      <c r="M426" s="65"/>
      <c r="N426" s="66"/>
      <c r="O426" s="67"/>
      <c r="P426" s="33"/>
      <c r="Q426" s="68"/>
      <c r="R426" s="42">
        <f>G427+J427</f>
        <v>357.63405899999998</v>
      </c>
      <c r="S426" s="283">
        <f>(R426+R427)*U426</f>
        <v>0</v>
      </c>
      <c r="T426" s="285">
        <f>E426*S426</f>
        <v>0</v>
      </c>
      <c r="U426" s="285"/>
    </row>
    <row r="427" spans="1:21" ht="12" customHeight="1">
      <c r="A427" s="44"/>
      <c r="B427" s="367"/>
      <c r="C427" s="368"/>
      <c r="E427" s="262"/>
      <c r="G427" s="34">
        <f>G426*$J$13/1000</f>
        <v>285.2835</v>
      </c>
      <c r="I427" s="46"/>
      <c r="J427" s="34">
        <f>J426*$Q$13/1000</f>
        <v>72.35055899999999</v>
      </c>
      <c r="K427" s="47"/>
      <c r="L427" s="242" t="s">
        <v>153</v>
      </c>
      <c r="M427" s="243" t="s">
        <v>26</v>
      </c>
      <c r="N427" s="244">
        <v>5.28</v>
      </c>
      <c r="O427" s="244">
        <f>E426*N427</f>
        <v>0.20697599999999999</v>
      </c>
      <c r="P427" s="245">
        <v>19.309999999999999</v>
      </c>
      <c r="Q427" s="246">
        <f>N427*P427*$N$11</f>
        <v>116.36989244496003</v>
      </c>
      <c r="R427" s="262">
        <f>SUM(Q427:Q427)</f>
        <v>116.36989244496003</v>
      </c>
      <c r="S427" s="284"/>
      <c r="T427" s="369"/>
      <c r="U427" s="369"/>
    </row>
    <row r="428" spans="1:21" ht="12">
      <c r="A428" s="44"/>
      <c r="B428" s="370" t="s">
        <v>144</v>
      </c>
      <c r="C428" s="368"/>
      <c r="E428" s="262"/>
      <c r="I428" s="46"/>
      <c r="K428" s="47"/>
      <c r="Q428" s="48"/>
      <c r="R428" s="262"/>
      <c r="S428" s="262"/>
      <c r="T428" s="49"/>
      <c r="U428" s="49"/>
    </row>
    <row r="429" spans="1:21" ht="12">
      <c r="A429" s="44"/>
      <c r="B429" s="370"/>
      <c r="C429" s="368"/>
      <c r="E429" s="262"/>
      <c r="I429" s="46"/>
      <c r="K429" s="47"/>
      <c r="Q429" s="48"/>
      <c r="R429" s="262"/>
      <c r="S429" s="262"/>
      <c r="T429" s="49"/>
      <c r="U429" s="49"/>
    </row>
    <row r="430" spans="1:21">
      <c r="A430" s="50"/>
      <c r="B430" s="51"/>
      <c r="C430" s="52"/>
      <c r="D430" s="53"/>
      <c r="E430" s="267"/>
      <c r="F430" s="54"/>
      <c r="G430" s="55"/>
      <c r="H430" s="54"/>
      <c r="I430" s="56"/>
      <c r="J430" s="55"/>
      <c r="K430" s="57"/>
      <c r="L430" s="58"/>
      <c r="M430" s="59"/>
      <c r="N430" s="60"/>
      <c r="O430" s="85"/>
      <c r="P430" s="54"/>
      <c r="Q430" s="61"/>
      <c r="R430" s="267"/>
      <c r="S430" s="267"/>
      <c r="T430" s="62"/>
      <c r="U430" s="62"/>
    </row>
    <row r="431" spans="1:21" ht="12">
      <c r="A431" s="91"/>
      <c r="B431" s="92"/>
      <c r="C431" s="93" t="s">
        <v>27</v>
      </c>
      <c r="D431" s="94"/>
      <c r="E431" s="95"/>
      <c r="F431" s="96"/>
      <c r="G431" s="97"/>
      <c r="H431" s="96"/>
      <c r="I431" s="98"/>
      <c r="J431" s="97"/>
      <c r="K431" s="99"/>
      <c r="L431" s="100"/>
      <c r="M431" s="101"/>
      <c r="N431" s="102"/>
      <c r="O431" s="103"/>
      <c r="P431" s="96"/>
      <c r="Q431" s="97"/>
      <c r="R431" s="103"/>
      <c r="S431" s="103"/>
      <c r="T431" s="104">
        <f>SUM(T390:T430)</f>
        <v>0</v>
      </c>
      <c r="U431" s="373">
        <v>3.4799999999999998E-2</v>
      </c>
    </row>
    <row r="432" spans="1:21">
      <c r="A432" s="44"/>
      <c r="C432" s="118"/>
      <c r="E432" s="262"/>
      <c r="I432" s="46"/>
      <c r="K432" s="47"/>
      <c r="T432" s="119"/>
      <c r="U432" s="119"/>
    </row>
    <row r="433" spans="1:21" ht="12">
      <c r="A433" s="115"/>
      <c r="B433" s="92"/>
      <c r="C433" s="116" t="s">
        <v>27</v>
      </c>
      <c r="D433" s="94"/>
      <c r="E433" s="117"/>
      <c r="F433" s="96"/>
      <c r="G433" s="97"/>
      <c r="H433" s="96"/>
      <c r="I433" s="96"/>
      <c r="J433" s="97"/>
      <c r="K433" s="96"/>
      <c r="L433" s="100"/>
      <c r="M433" s="101"/>
      <c r="N433" s="102"/>
      <c r="O433" s="103"/>
      <c r="P433" s="96"/>
      <c r="Q433" s="97"/>
      <c r="R433" s="103"/>
      <c r="S433" s="103"/>
      <c r="T433" s="104">
        <f>T388+T256+T431</f>
        <v>0</v>
      </c>
      <c r="U433" s="104"/>
    </row>
    <row r="434" spans="1:21">
      <c r="A434" s="120"/>
      <c r="C434" s="121" t="s">
        <v>158</v>
      </c>
      <c r="D434" s="163"/>
      <c r="E434" s="122"/>
      <c r="T434" s="280">
        <f>T433+T225</f>
        <v>0</v>
      </c>
      <c r="U434" s="280"/>
    </row>
    <row r="435" spans="1:21">
      <c r="A435" s="120"/>
      <c r="C435" s="121" t="s">
        <v>159</v>
      </c>
      <c r="D435" s="163">
        <v>0.2</v>
      </c>
      <c r="E435" s="122"/>
      <c r="T435" s="119">
        <f>T434*0.2</f>
        <v>0</v>
      </c>
      <c r="U435" s="119"/>
    </row>
    <row r="436" spans="1:21" ht="13.5" thickBot="1">
      <c r="A436" s="120"/>
      <c r="C436" s="121" t="s">
        <v>27</v>
      </c>
      <c r="E436" s="122"/>
      <c r="T436" s="119">
        <f>T434+T435</f>
        <v>0</v>
      </c>
      <c r="U436" s="119"/>
    </row>
    <row r="437" spans="1:21" ht="14.25" thickTop="1" thickBot="1">
      <c r="A437" s="123"/>
      <c r="B437" s="124"/>
      <c r="C437" s="125" t="s">
        <v>31</v>
      </c>
      <c r="D437" s="124"/>
      <c r="E437" s="126"/>
      <c r="F437" s="127"/>
      <c r="G437" s="128"/>
      <c r="H437" s="127"/>
      <c r="I437" s="127"/>
      <c r="J437" s="128"/>
      <c r="K437" s="127"/>
      <c r="L437" s="127"/>
      <c r="M437" s="129"/>
      <c r="N437" s="127"/>
      <c r="O437" s="128"/>
      <c r="P437" s="127"/>
      <c r="Q437" s="128"/>
      <c r="R437" s="128"/>
      <c r="S437" s="128"/>
      <c r="T437" s="130">
        <v>20845.810000000001</v>
      </c>
      <c r="U437" s="374">
        <v>1</v>
      </c>
    </row>
    <row r="438" spans="1:21" ht="13.5" thickTop="1"/>
  </sheetData>
  <mergeCells count="432">
    <mergeCell ref="U384:U385"/>
    <mergeCell ref="U393:U394"/>
    <mergeCell ref="U398:U399"/>
    <mergeCell ref="U403:U404"/>
    <mergeCell ref="U408:U409"/>
    <mergeCell ref="U413:U414"/>
    <mergeCell ref="U421:U422"/>
    <mergeCell ref="U426:U427"/>
    <mergeCell ref="U344:U347"/>
    <mergeCell ref="U349:U350"/>
    <mergeCell ref="U353:U355"/>
    <mergeCell ref="U357:U358"/>
    <mergeCell ref="U361:U362"/>
    <mergeCell ref="U365:U366"/>
    <mergeCell ref="U369:U372"/>
    <mergeCell ref="U374:U379"/>
    <mergeCell ref="U380:U381"/>
    <mergeCell ref="U295:U298"/>
    <mergeCell ref="U300:U307"/>
    <mergeCell ref="U309:U315"/>
    <mergeCell ref="U317:U322"/>
    <mergeCell ref="U323:U324"/>
    <mergeCell ref="U327:U328"/>
    <mergeCell ref="U331:U332"/>
    <mergeCell ref="U335:U336"/>
    <mergeCell ref="U339:U342"/>
    <mergeCell ref="U238:U241"/>
    <mergeCell ref="U242:U245"/>
    <mergeCell ref="U246:U248"/>
    <mergeCell ref="U258:U262"/>
    <mergeCell ref="U265:U269"/>
    <mergeCell ref="U272:U276"/>
    <mergeCell ref="U279:U283"/>
    <mergeCell ref="U286:U287"/>
    <mergeCell ref="U290:U293"/>
    <mergeCell ref="U176:U177"/>
    <mergeCell ref="U185:U186"/>
    <mergeCell ref="U190:U191"/>
    <mergeCell ref="U195:U196"/>
    <mergeCell ref="U200:U201"/>
    <mergeCell ref="U205:U206"/>
    <mergeCell ref="U213:U214"/>
    <mergeCell ref="U218:U219"/>
    <mergeCell ref="U233:U236"/>
    <mergeCell ref="U136:U139"/>
    <mergeCell ref="U141:U142"/>
    <mergeCell ref="U145:U147"/>
    <mergeCell ref="U149:U150"/>
    <mergeCell ref="U153:U154"/>
    <mergeCell ref="U157:U158"/>
    <mergeCell ref="U161:U164"/>
    <mergeCell ref="U166:U171"/>
    <mergeCell ref="U172:U173"/>
    <mergeCell ref="U87:U90"/>
    <mergeCell ref="U92:U99"/>
    <mergeCell ref="U101:U107"/>
    <mergeCell ref="U109:U114"/>
    <mergeCell ref="U115:U116"/>
    <mergeCell ref="U119:U120"/>
    <mergeCell ref="U123:U124"/>
    <mergeCell ref="U127:U128"/>
    <mergeCell ref="U131:U134"/>
    <mergeCell ref="U30:U33"/>
    <mergeCell ref="U34:U37"/>
    <mergeCell ref="U38:U40"/>
    <mergeCell ref="U50:U54"/>
    <mergeCell ref="U57:U61"/>
    <mergeCell ref="U64:U68"/>
    <mergeCell ref="U71:U75"/>
    <mergeCell ref="U78:U79"/>
    <mergeCell ref="U82:U85"/>
    <mergeCell ref="B4:R4"/>
    <mergeCell ref="E5:R5"/>
    <mergeCell ref="A9:B9"/>
    <mergeCell ref="P9:R9"/>
    <mergeCell ref="E10:G10"/>
    <mergeCell ref="A6:T6"/>
    <mergeCell ref="C7:S7"/>
    <mergeCell ref="U15:U19"/>
    <mergeCell ref="U25:U28"/>
    <mergeCell ref="D11:F11"/>
    <mergeCell ref="N11:P11"/>
    <mergeCell ref="J13:L13"/>
    <mergeCell ref="Q13:S13"/>
    <mergeCell ref="A15:A19"/>
    <mergeCell ref="B15:B19"/>
    <mergeCell ref="C15:C19"/>
    <mergeCell ref="D15:D19"/>
    <mergeCell ref="E15:E19"/>
    <mergeCell ref="F15:H19"/>
    <mergeCell ref="Q16:Q19"/>
    <mergeCell ref="B20:D20"/>
    <mergeCell ref="C21:C23"/>
    <mergeCell ref="C25:C28"/>
    <mergeCell ref="S25:S28"/>
    <mergeCell ref="T25:T28"/>
    <mergeCell ref="L26:L27"/>
    <mergeCell ref="R26:R28"/>
    <mergeCell ref="I15:K19"/>
    <mergeCell ref="L15:Q15"/>
    <mergeCell ref="R15:R19"/>
    <mergeCell ref="S15:S19"/>
    <mergeCell ref="T15:T19"/>
    <mergeCell ref="L16:L19"/>
    <mergeCell ref="M16:M19"/>
    <mergeCell ref="N16:N19"/>
    <mergeCell ref="O16:O19"/>
    <mergeCell ref="P16:P19"/>
    <mergeCell ref="C38:C40"/>
    <mergeCell ref="S38:S40"/>
    <mergeCell ref="T38:T40"/>
    <mergeCell ref="L39:L40"/>
    <mergeCell ref="R39:R40"/>
    <mergeCell ref="B42:B43"/>
    <mergeCell ref="C42:C44"/>
    <mergeCell ref="C30:C33"/>
    <mergeCell ref="S30:S33"/>
    <mergeCell ref="T30:T33"/>
    <mergeCell ref="R31:R33"/>
    <mergeCell ref="C34:C37"/>
    <mergeCell ref="S34:S37"/>
    <mergeCell ref="T34:T37"/>
    <mergeCell ref="R35:R37"/>
    <mergeCell ref="C57:C61"/>
    <mergeCell ref="S57:S61"/>
    <mergeCell ref="T57:T61"/>
    <mergeCell ref="R58:R61"/>
    <mergeCell ref="C64:C68"/>
    <mergeCell ref="S64:S68"/>
    <mergeCell ref="T64:T68"/>
    <mergeCell ref="R65:R68"/>
    <mergeCell ref="B45:B46"/>
    <mergeCell ref="C45:C47"/>
    <mergeCell ref="B49:D49"/>
    <mergeCell ref="C50:C55"/>
    <mergeCell ref="S50:S54"/>
    <mergeCell ref="T50:T54"/>
    <mergeCell ref="R51:R54"/>
    <mergeCell ref="C82:C85"/>
    <mergeCell ref="S82:S85"/>
    <mergeCell ref="T82:T85"/>
    <mergeCell ref="R83:R85"/>
    <mergeCell ref="C87:C90"/>
    <mergeCell ref="S87:S90"/>
    <mergeCell ref="T87:T90"/>
    <mergeCell ref="R88:R90"/>
    <mergeCell ref="C71:C75"/>
    <mergeCell ref="S71:S75"/>
    <mergeCell ref="T71:T75"/>
    <mergeCell ref="R72:R75"/>
    <mergeCell ref="C78:C80"/>
    <mergeCell ref="S78:S79"/>
    <mergeCell ref="T78:T79"/>
    <mergeCell ref="C101:C107"/>
    <mergeCell ref="S101:S107"/>
    <mergeCell ref="T101:T107"/>
    <mergeCell ref="L102:L103"/>
    <mergeCell ref="R102:R107"/>
    <mergeCell ref="L105:L106"/>
    <mergeCell ref="C92:C99"/>
    <mergeCell ref="S92:S99"/>
    <mergeCell ref="T92:T99"/>
    <mergeCell ref="L93:L94"/>
    <mergeCell ref="R93:R99"/>
    <mergeCell ref="L95:L98"/>
    <mergeCell ref="C119:C121"/>
    <mergeCell ref="S119:S120"/>
    <mergeCell ref="T119:T120"/>
    <mergeCell ref="L120:L121"/>
    <mergeCell ref="C123:C125"/>
    <mergeCell ref="S123:S124"/>
    <mergeCell ref="T123:T124"/>
    <mergeCell ref="L124:L125"/>
    <mergeCell ref="C109:C114"/>
    <mergeCell ref="S109:S114"/>
    <mergeCell ref="T109:T114"/>
    <mergeCell ref="R110:R114"/>
    <mergeCell ref="C115:C117"/>
    <mergeCell ref="S115:S116"/>
    <mergeCell ref="T115:T116"/>
    <mergeCell ref="L116:L117"/>
    <mergeCell ref="C127:C129"/>
    <mergeCell ref="S127:S128"/>
    <mergeCell ref="T127:T128"/>
    <mergeCell ref="L128:L129"/>
    <mergeCell ref="C131:C134"/>
    <mergeCell ref="S131:S134"/>
    <mergeCell ref="T131:T134"/>
    <mergeCell ref="L132:L133"/>
    <mergeCell ref="R132:R134"/>
    <mergeCell ref="C136:C139"/>
    <mergeCell ref="S136:S139"/>
    <mergeCell ref="T136:T139"/>
    <mergeCell ref="L137:L138"/>
    <mergeCell ref="R137:R139"/>
    <mergeCell ref="C141:C143"/>
    <mergeCell ref="S141:S142"/>
    <mergeCell ref="T141:T142"/>
    <mergeCell ref="L142:L143"/>
    <mergeCell ref="C153:C155"/>
    <mergeCell ref="S153:S154"/>
    <mergeCell ref="T153:T154"/>
    <mergeCell ref="L154:L155"/>
    <mergeCell ref="C157:C159"/>
    <mergeCell ref="S157:S158"/>
    <mergeCell ref="T157:T158"/>
    <mergeCell ref="L158:L159"/>
    <mergeCell ref="C145:C147"/>
    <mergeCell ref="S145:S147"/>
    <mergeCell ref="T145:T147"/>
    <mergeCell ref="L146:L147"/>
    <mergeCell ref="R146:R147"/>
    <mergeCell ref="C149:C151"/>
    <mergeCell ref="S149:S150"/>
    <mergeCell ref="T149:T150"/>
    <mergeCell ref="L150:L151"/>
    <mergeCell ref="C172:C174"/>
    <mergeCell ref="S172:S173"/>
    <mergeCell ref="T172:T173"/>
    <mergeCell ref="L173:L174"/>
    <mergeCell ref="C176:C178"/>
    <mergeCell ref="S176:S177"/>
    <mergeCell ref="T176:T177"/>
    <mergeCell ref="L177:L178"/>
    <mergeCell ref="C161:C164"/>
    <mergeCell ref="S161:S164"/>
    <mergeCell ref="T161:T164"/>
    <mergeCell ref="L162:L163"/>
    <mergeCell ref="R162:R164"/>
    <mergeCell ref="C166:C171"/>
    <mergeCell ref="S166:S171"/>
    <mergeCell ref="T166:T171"/>
    <mergeCell ref="R167:R171"/>
    <mergeCell ref="C182:C183"/>
    <mergeCell ref="C185:C188"/>
    <mergeCell ref="S185:S186"/>
    <mergeCell ref="T185:T186"/>
    <mergeCell ref="L186:L188"/>
    <mergeCell ref="C190:C193"/>
    <mergeCell ref="S190:S191"/>
    <mergeCell ref="T190:T191"/>
    <mergeCell ref="L191:L193"/>
    <mergeCell ref="B195:B196"/>
    <mergeCell ref="C195:C198"/>
    <mergeCell ref="S195:S196"/>
    <mergeCell ref="T195:T196"/>
    <mergeCell ref="B197:B198"/>
    <mergeCell ref="C200:C203"/>
    <mergeCell ref="S200:S201"/>
    <mergeCell ref="T200:T201"/>
    <mergeCell ref="L201:L203"/>
    <mergeCell ref="C205:C208"/>
    <mergeCell ref="S205:S206"/>
    <mergeCell ref="T205:T206"/>
    <mergeCell ref="L206:L208"/>
    <mergeCell ref="C210:C211"/>
    <mergeCell ref="C213:C216"/>
    <mergeCell ref="S213:S214"/>
    <mergeCell ref="T213:T214"/>
    <mergeCell ref="L214:L216"/>
    <mergeCell ref="B228:D228"/>
    <mergeCell ref="C229:C231"/>
    <mergeCell ref="C233:C236"/>
    <mergeCell ref="S233:S236"/>
    <mergeCell ref="T233:T236"/>
    <mergeCell ref="L234:L235"/>
    <mergeCell ref="R234:R236"/>
    <mergeCell ref="B218:B219"/>
    <mergeCell ref="C218:C221"/>
    <mergeCell ref="S218:S219"/>
    <mergeCell ref="T218:T219"/>
    <mergeCell ref="B220:B221"/>
    <mergeCell ref="C246:C248"/>
    <mergeCell ref="S246:S248"/>
    <mergeCell ref="T246:T248"/>
    <mergeCell ref="L247:L248"/>
    <mergeCell ref="R247:R248"/>
    <mergeCell ref="B250:B251"/>
    <mergeCell ref="C250:C252"/>
    <mergeCell ref="C238:C241"/>
    <mergeCell ref="S238:S241"/>
    <mergeCell ref="T238:T241"/>
    <mergeCell ref="R239:R241"/>
    <mergeCell ref="C242:C245"/>
    <mergeCell ref="S242:S245"/>
    <mergeCell ref="T242:T245"/>
    <mergeCell ref="R243:R245"/>
    <mergeCell ref="C265:C269"/>
    <mergeCell ref="S265:S269"/>
    <mergeCell ref="T265:T269"/>
    <mergeCell ref="R266:R269"/>
    <mergeCell ref="C272:C276"/>
    <mergeCell ref="S272:S276"/>
    <mergeCell ref="T272:T276"/>
    <mergeCell ref="R273:R276"/>
    <mergeCell ref="B253:B254"/>
    <mergeCell ref="C253:C255"/>
    <mergeCell ref="B257:D257"/>
    <mergeCell ref="C258:C263"/>
    <mergeCell ref="S258:S262"/>
    <mergeCell ref="T258:T262"/>
    <mergeCell ref="R259:R262"/>
    <mergeCell ref="C290:C293"/>
    <mergeCell ref="S290:S293"/>
    <mergeCell ref="T290:T293"/>
    <mergeCell ref="R291:R293"/>
    <mergeCell ref="C295:C298"/>
    <mergeCell ref="S295:S298"/>
    <mergeCell ref="T295:T298"/>
    <mergeCell ref="R296:R298"/>
    <mergeCell ref="C279:C283"/>
    <mergeCell ref="S279:S283"/>
    <mergeCell ref="T279:T283"/>
    <mergeCell ref="R280:R283"/>
    <mergeCell ref="C286:C288"/>
    <mergeCell ref="S286:S287"/>
    <mergeCell ref="T286:T287"/>
    <mergeCell ref="C309:C315"/>
    <mergeCell ref="S309:S315"/>
    <mergeCell ref="T309:T315"/>
    <mergeCell ref="L310:L311"/>
    <mergeCell ref="R310:R315"/>
    <mergeCell ref="L313:L314"/>
    <mergeCell ref="C300:C307"/>
    <mergeCell ref="S300:S307"/>
    <mergeCell ref="T300:T307"/>
    <mergeCell ref="L301:L302"/>
    <mergeCell ref="R301:R307"/>
    <mergeCell ref="L303:L306"/>
    <mergeCell ref="C327:C329"/>
    <mergeCell ref="S327:S328"/>
    <mergeCell ref="T327:T328"/>
    <mergeCell ref="L328:L329"/>
    <mergeCell ref="C331:C333"/>
    <mergeCell ref="S331:S332"/>
    <mergeCell ref="T331:T332"/>
    <mergeCell ref="L332:L333"/>
    <mergeCell ref="C317:C322"/>
    <mergeCell ref="S317:S322"/>
    <mergeCell ref="T317:T322"/>
    <mergeCell ref="R318:R322"/>
    <mergeCell ref="C323:C325"/>
    <mergeCell ref="S323:S324"/>
    <mergeCell ref="T323:T324"/>
    <mergeCell ref="L324:L325"/>
    <mergeCell ref="C335:C337"/>
    <mergeCell ref="S335:S336"/>
    <mergeCell ref="T335:T336"/>
    <mergeCell ref="L336:L337"/>
    <mergeCell ref="C339:C342"/>
    <mergeCell ref="S339:S342"/>
    <mergeCell ref="T339:T342"/>
    <mergeCell ref="L340:L341"/>
    <mergeCell ref="R340:R342"/>
    <mergeCell ref="C344:C347"/>
    <mergeCell ref="S344:S347"/>
    <mergeCell ref="T344:T347"/>
    <mergeCell ref="L345:L346"/>
    <mergeCell ref="R345:R347"/>
    <mergeCell ref="C349:C351"/>
    <mergeCell ref="S349:S350"/>
    <mergeCell ref="T349:T350"/>
    <mergeCell ref="L350:L351"/>
    <mergeCell ref="C361:C363"/>
    <mergeCell ref="S361:S362"/>
    <mergeCell ref="T361:T362"/>
    <mergeCell ref="L362:L363"/>
    <mergeCell ref="C365:C367"/>
    <mergeCell ref="S365:S366"/>
    <mergeCell ref="T365:T366"/>
    <mergeCell ref="L366:L367"/>
    <mergeCell ref="C353:C355"/>
    <mergeCell ref="S353:S355"/>
    <mergeCell ref="T353:T355"/>
    <mergeCell ref="L354:L355"/>
    <mergeCell ref="R354:R355"/>
    <mergeCell ref="C357:C359"/>
    <mergeCell ref="S357:S358"/>
    <mergeCell ref="T357:T358"/>
    <mergeCell ref="L358:L359"/>
    <mergeCell ref="C380:C382"/>
    <mergeCell ref="S380:S381"/>
    <mergeCell ref="T380:T381"/>
    <mergeCell ref="L381:L382"/>
    <mergeCell ref="C384:C386"/>
    <mergeCell ref="S384:S385"/>
    <mergeCell ref="T384:T385"/>
    <mergeCell ref="L385:L386"/>
    <mergeCell ref="C369:C372"/>
    <mergeCell ref="S369:S372"/>
    <mergeCell ref="T369:T372"/>
    <mergeCell ref="L370:L371"/>
    <mergeCell ref="R370:R372"/>
    <mergeCell ref="C374:C379"/>
    <mergeCell ref="S374:S379"/>
    <mergeCell ref="T374:T379"/>
    <mergeCell ref="R375:R379"/>
    <mergeCell ref="T408:T409"/>
    <mergeCell ref="L409:L411"/>
    <mergeCell ref="C390:C391"/>
    <mergeCell ref="C393:C396"/>
    <mergeCell ref="S393:S394"/>
    <mergeCell ref="T393:T394"/>
    <mergeCell ref="L394:L396"/>
    <mergeCell ref="C398:C401"/>
    <mergeCell ref="S398:S399"/>
    <mergeCell ref="T398:T399"/>
    <mergeCell ref="L399:L401"/>
    <mergeCell ref="B426:B427"/>
    <mergeCell ref="C426:C429"/>
    <mergeCell ref="S426:S427"/>
    <mergeCell ref="T426:T427"/>
    <mergeCell ref="B428:B429"/>
    <mergeCell ref="C226:E226"/>
    <mergeCell ref="S390:S391"/>
    <mergeCell ref="S418:S419"/>
    <mergeCell ref="C413:C416"/>
    <mergeCell ref="S413:S414"/>
    <mergeCell ref="T413:T414"/>
    <mergeCell ref="L414:L416"/>
    <mergeCell ref="C418:C419"/>
    <mergeCell ref="C421:C424"/>
    <mergeCell ref="S421:S422"/>
    <mergeCell ref="T421:T422"/>
    <mergeCell ref="L422:L424"/>
    <mergeCell ref="B403:B404"/>
    <mergeCell ref="C403:C406"/>
    <mergeCell ref="S403:S404"/>
    <mergeCell ref="T403:T404"/>
    <mergeCell ref="B405:B406"/>
    <mergeCell ref="C408:C411"/>
    <mergeCell ref="S408:S40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Armen &amp; Robert</dc:creator>
  <cp:lastModifiedBy>Artyom</cp:lastModifiedBy>
  <cp:lastPrinted>2020-04-23T15:02:10Z</cp:lastPrinted>
  <dcterms:created xsi:type="dcterms:W3CDTF">2000-04-17T03:23:27Z</dcterms:created>
  <dcterms:modified xsi:type="dcterms:W3CDTF">2020-07-10T11:55:33Z</dcterms:modified>
</cp:coreProperties>
</file>